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720" windowWidth="18440" windowHeight="7820"/>
  </bookViews>
  <sheets>
    <sheet name="Formulario" sheetId="15" r:id="rId1"/>
    <sheet name="Emisiones" sheetId="8" r:id="rId2"/>
    <sheet name="Capturas" sheetId="9" r:id="rId3"/>
    <sheet name="Balance" sheetId="5" r:id="rId4"/>
  </sheets>
  <calcPr calcId="145621"/>
</workbook>
</file>

<file path=xl/calcChain.xml><?xml version="1.0" encoding="utf-8"?>
<calcChain xmlns="http://schemas.openxmlformats.org/spreadsheetml/2006/main">
  <c r="B43" i="8" l="1"/>
  <c r="K32" i="9"/>
  <c r="B20" i="5" s="1"/>
  <c r="M16" i="9"/>
  <c r="B18" i="5"/>
  <c r="B12" i="5"/>
  <c r="E92" i="8"/>
  <c r="E91" i="8"/>
  <c r="D92" i="8"/>
  <c r="D91" i="8"/>
  <c r="E83" i="8"/>
  <c r="F84" i="8"/>
  <c r="G84" i="8" s="1"/>
  <c r="E84" i="8"/>
  <c r="B39" i="8"/>
  <c r="G36" i="8"/>
  <c r="F35" i="8"/>
  <c r="G35" i="8" s="1"/>
  <c r="F36" i="8"/>
  <c r="F37" i="8"/>
  <c r="G37" i="8" s="1"/>
  <c r="F38" i="8"/>
  <c r="G38" i="8" s="1"/>
  <c r="F34" i="8"/>
  <c r="F39" i="8" s="1"/>
  <c r="E35" i="8"/>
  <c r="E36" i="8"/>
  <c r="E37" i="8"/>
  <c r="E38" i="8"/>
  <c r="E34" i="8"/>
  <c r="B75" i="8"/>
  <c r="B77" i="8" s="1"/>
  <c r="D67" i="8" s="1"/>
  <c r="B70" i="8"/>
  <c r="B72" i="8" s="1"/>
  <c r="D66" i="8" s="1"/>
  <c r="B65" i="8"/>
  <c r="B67" i="8" s="1"/>
  <c r="D65" i="8" s="1"/>
  <c r="B57" i="8"/>
  <c r="C57" i="8" s="1"/>
  <c r="E57" i="8" s="1"/>
  <c r="B9" i="5" s="1"/>
  <c r="B51" i="8"/>
  <c r="C51" i="8" s="1"/>
  <c r="E51" i="8" s="1"/>
  <c r="B8" i="5" s="1"/>
  <c r="E93" i="8" l="1"/>
  <c r="F90" i="8" s="1"/>
  <c r="F83" i="8"/>
  <c r="G83" i="8" s="1"/>
  <c r="G85" i="8" s="1"/>
  <c r="H82" i="8" s="1"/>
  <c r="B11" i="5" s="1"/>
  <c r="E39" i="8"/>
  <c r="I67" i="8"/>
  <c r="J67" i="8"/>
  <c r="H67" i="8"/>
  <c r="K67" i="8" l="1"/>
  <c r="G34" i="8"/>
  <c r="G39" i="8" s="1"/>
  <c r="H33" i="8" s="1"/>
  <c r="B6" i="5" s="1"/>
  <c r="F32" i="9"/>
  <c r="I32" i="9" l="1"/>
  <c r="H32" i="9"/>
  <c r="G26" i="9"/>
  <c r="G25" i="9"/>
  <c r="H23" i="9" s="1"/>
  <c r="B19" i="5" s="1"/>
  <c r="G24" i="9"/>
  <c r="G23" i="9"/>
  <c r="I16" i="9"/>
  <c r="H16" i="9"/>
  <c r="F16" i="9"/>
  <c r="F17" i="9" s="1"/>
  <c r="I10" i="9"/>
  <c r="K10" i="9" s="1"/>
  <c r="M10" i="9" s="1"/>
  <c r="C10" i="9"/>
  <c r="I9" i="9"/>
  <c r="K9" i="9" s="1"/>
  <c r="M9" i="9" s="1"/>
  <c r="C9" i="9"/>
  <c r="J32" i="9" l="1"/>
  <c r="J33" i="9" s="1"/>
  <c r="E9" i="9"/>
  <c r="G9" i="9" s="1"/>
  <c r="E10" i="9"/>
  <c r="G10" i="9" s="1"/>
  <c r="J16" i="9"/>
  <c r="J17" i="9" s="1"/>
  <c r="K16" i="9"/>
  <c r="P7" i="9" l="1"/>
  <c r="P8" i="9" s="1"/>
  <c r="P10" i="9" s="1"/>
  <c r="Q6" i="9" s="1"/>
  <c r="B17" i="5" s="1"/>
  <c r="L16" i="9"/>
  <c r="L17" i="9" s="1"/>
  <c r="D23" i="8"/>
  <c r="D24" i="8"/>
  <c r="D25" i="8"/>
  <c r="D26" i="8"/>
  <c r="D27" i="8"/>
  <c r="D28" i="8"/>
  <c r="D22" i="8"/>
  <c r="B44" i="8"/>
  <c r="F25" i="8"/>
  <c r="G25" i="8" s="1"/>
  <c r="E23" i="8"/>
  <c r="F23" i="8" s="1"/>
  <c r="F22" i="8"/>
  <c r="D14" i="8"/>
  <c r="R13" i="8"/>
  <c r="Q13" i="8"/>
  <c r="S13" i="8" s="1"/>
  <c r="T13" i="8" s="1"/>
  <c r="U13" i="8" s="1"/>
  <c r="K13" i="8" s="1"/>
  <c r="O13" i="8"/>
  <c r="Z13" i="8" s="1"/>
  <c r="R12" i="8"/>
  <c r="Q12" i="8"/>
  <c r="S12" i="8" s="1"/>
  <c r="T12" i="8" s="1"/>
  <c r="U12" i="8" s="1"/>
  <c r="K12" i="8" s="1"/>
  <c r="O12" i="8"/>
  <c r="P12" i="8" s="1"/>
  <c r="R11" i="8"/>
  <c r="Q11" i="8"/>
  <c r="S11" i="8" s="1"/>
  <c r="T11" i="8" s="1"/>
  <c r="U11" i="8" s="1"/>
  <c r="K11" i="8" s="1"/>
  <c r="O11" i="8"/>
  <c r="Z11" i="8" s="1"/>
  <c r="R9" i="8"/>
  <c r="Q9" i="8"/>
  <c r="S9" i="8" s="1"/>
  <c r="T9" i="8" s="1"/>
  <c r="U9" i="8" s="1"/>
  <c r="K9" i="8" s="1"/>
  <c r="O9" i="8"/>
  <c r="Z9" i="8" s="1"/>
  <c r="R8" i="8"/>
  <c r="Q8" i="8"/>
  <c r="S8" i="8" s="1"/>
  <c r="T8" i="8" s="1"/>
  <c r="U8" i="8" s="1"/>
  <c r="K8" i="8" s="1"/>
  <c r="O8" i="8"/>
  <c r="Z8" i="8" s="1"/>
  <c r="E8" i="8"/>
  <c r="E11" i="8" s="1"/>
  <c r="G11" i="8" s="1"/>
  <c r="R7" i="8"/>
  <c r="Q7" i="8"/>
  <c r="S7" i="8" s="1"/>
  <c r="O7" i="8"/>
  <c r="Z7" i="8" s="1"/>
  <c r="G7" i="8"/>
  <c r="AB10" i="8" s="1"/>
  <c r="P8" i="8" l="1"/>
  <c r="G23" i="8"/>
  <c r="H23" i="8" s="1"/>
  <c r="P7" i="8"/>
  <c r="G8" i="8"/>
  <c r="D29" i="8"/>
  <c r="E9" i="8"/>
  <c r="E12" i="8" s="1"/>
  <c r="G12" i="8" s="1"/>
  <c r="Z12" i="8"/>
  <c r="G22" i="8"/>
  <c r="H22" i="8" s="1"/>
  <c r="P82" i="8"/>
  <c r="P83" i="8" s="1"/>
  <c r="P85" i="8" s="1"/>
  <c r="Q81" i="8" s="1"/>
  <c r="K7" i="8"/>
  <c r="T7" i="8"/>
  <c r="U7" i="8" s="1"/>
  <c r="L9" i="8"/>
  <c r="M9" i="8"/>
  <c r="L11" i="8"/>
  <c r="M11" i="8"/>
  <c r="M12" i="8"/>
  <c r="L12" i="8"/>
  <c r="L13" i="8"/>
  <c r="M13" i="8"/>
  <c r="M8" i="8"/>
  <c r="L8" i="8"/>
  <c r="E13" i="8"/>
  <c r="G13" i="8" s="1"/>
  <c r="E24" i="8"/>
  <c r="P9" i="8"/>
  <c r="P11" i="8"/>
  <c r="P13" i="8"/>
  <c r="G9" i="8" l="1"/>
  <c r="Y8" i="8"/>
  <c r="AA8" i="8" s="1"/>
  <c r="AB8" i="8" s="1"/>
  <c r="AC8" i="8" s="1"/>
  <c r="X8" i="8"/>
  <c r="N8" i="8"/>
  <c r="Y12" i="8"/>
  <c r="AA12" i="8" s="1"/>
  <c r="AB12" i="8" s="1"/>
  <c r="AC12" i="8" s="1"/>
  <c r="X12" i="8"/>
  <c r="N12" i="8"/>
  <c r="M7" i="8"/>
  <c r="L7" i="8"/>
  <c r="F24" i="8"/>
  <c r="G24" i="8" s="1"/>
  <c r="E26" i="8"/>
  <c r="X13" i="8"/>
  <c r="N13" i="8"/>
  <c r="Y13" i="8"/>
  <c r="AA13" i="8" s="1"/>
  <c r="AB13" i="8" s="1"/>
  <c r="AC13" i="8" s="1"/>
  <c r="X11" i="8"/>
  <c r="N11" i="8"/>
  <c r="Y11" i="8"/>
  <c r="AA11" i="8" s="1"/>
  <c r="AB11" i="8" s="1"/>
  <c r="AC11" i="8" s="1"/>
  <c r="X9" i="8"/>
  <c r="N9" i="8"/>
  <c r="Y9" i="8"/>
  <c r="AA9" i="8" s="1"/>
  <c r="AB9" i="8" s="1"/>
  <c r="AC9" i="8" s="1"/>
  <c r="F26" i="8" l="1"/>
  <c r="G26" i="8" s="1"/>
  <c r="H26" i="8" s="1"/>
  <c r="E27" i="8"/>
  <c r="H24" i="8"/>
  <c r="Y7" i="8"/>
  <c r="AA7" i="8" s="1"/>
  <c r="AB7" i="8" s="1"/>
  <c r="AC7" i="8" s="1"/>
  <c r="AD7" i="8" s="1"/>
  <c r="B4" i="5" s="1"/>
  <c r="X7" i="8"/>
  <c r="N7" i="8"/>
  <c r="F27" i="8" l="1"/>
  <c r="G27" i="8" s="1"/>
  <c r="E28" i="8"/>
  <c r="F28" i="8" s="1"/>
  <c r="G28" i="8" s="1"/>
  <c r="H28" i="8" s="1"/>
  <c r="B21" i="5" l="1"/>
  <c r="H27" i="8"/>
  <c r="H29" i="8" s="1"/>
  <c r="I21" i="8" s="1"/>
  <c r="B5" i="5" s="1"/>
  <c r="G29" i="8"/>
  <c r="C19" i="5" l="1"/>
  <c r="C20" i="5"/>
  <c r="C18" i="5"/>
  <c r="C17" i="5"/>
  <c r="B22" i="5"/>
  <c r="C21" i="5"/>
  <c r="G43" i="8" l="1"/>
  <c r="G44" i="8" s="1"/>
  <c r="G46" i="8" l="1"/>
  <c r="H45" i="8" s="1"/>
  <c r="B7" i="5" s="1"/>
  <c r="J65" i="8" l="1"/>
  <c r="I66" i="8"/>
  <c r="J66" i="8"/>
  <c r="H66" i="8"/>
  <c r="H65" i="8" l="1"/>
  <c r="I65" i="8"/>
  <c r="K66" i="8"/>
  <c r="K65" i="8" l="1"/>
  <c r="L65" i="8" s="1"/>
  <c r="B10" i="5" s="1"/>
  <c r="B13" i="5"/>
  <c r="C8" i="5" l="1"/>
  <c r="C6" i="5"/>
  <c r="C10" i="5"/>
  <c r="B14" i="5"/>
  <c r="B24" i="5" s="1"/>
  <c r="C7" i="5"/>
  <c r="C12" i="5"/>
  <c r="C5" i="5"/>
  <c r="C9" i="5"/>
  <c r="C11" i="5"/>
  <c r="C4" i="5"/>
  <c r="C13" i="5"/>
</calcChain>
</file>

<file path=xl/comments1.xml><?xml version="1.0" encoding="utf-8"?>
<comments xmlns="http://schemas.openxmlformats.org/spreadsheetml/2006/main">
  <authors>
    <author>INTA-Investigación</author>
  </authors>
  <commentList>
    <comment ref="S5" authorId="0">
      <text>
        <r>
          <rPr>
            <b/>
            <sz val="9"/>
            <color indexed="26"/>
            <rFont val="Tahoma"/>
            <family val="2"/>
          </rPr>
          <t>INTA-Investigación:</t>
        </r>
        <r>
          <rPr>
            <sz val="9"/>
            <color indexed="26"/>
            <rFont val="Tahoma"/>
            <family val="2"/>
          </rPr>
          <t xml:space="preserve">
Adición ponderada por incremento en el consumo de conscentrado de acuerdo a reg: 0,0305x</t>
        </r>
        <r>
          <rPr>
            <vertAlign val="superscript"/>
            <sz val="9"/>
            <color indexed="26"/>
            <rFont val="Tahoma"/>
            <family val="2"/>
          </rPr>
          <t>2</t>
        </r>
        <r>
          <rPr>
            <sz val="9"/>
            <color indexed="26"/>
            <rFont val="Tahoma"/>
            <family val="2"/>
          </rPr>
          <t xml:space="preserve"> + 0,8453x - 0,1993.  R</t>
        </r>
        <r>
          <rPr>
            <vertAlign val="superscript"/>
            <sz val="9"/>
            <color indexed="26"/>
            <rFont val="Tahoma"/>
            <family val="2"/>
          </rPr>
          <t>2</t>
        </r>
        <r>
          <rPr>
            <sz val="9"/>
            <color indexed="26"/>
            <rFont val="Tahoma"/>
            <family val="2"/>
          </rPr>
          <t>=98 (rango de 0 a 12 kg de conc/v/d)</t>
        </r>
      </text>
    </comment>
  </commentList>
</comments>
</file>

<file path=xl/comments2.xml><?xml version="1.0" encoding="utf-8"?>
<comments xmlns="http://schemas.openxmlformats.org/spreadsheetml/2006/main">
  <authors>
    <author>Portatil</author>
  </authors>
  <commentList>
    <comment ref="E32" authorId="0">
      <text>
        <r>
          <rPr>
            <b/>
            <sz val="9"/>
            <color indexed="81"/>
            <rFont val="Tahoma"/>
            <family val="2"/>
          </rPr>
          <t>Portatil:</t>
        </r>
        <r>
          <rPr>
            <sz val="9"/>
            <color indexed="81"/>
            <rFont val="Tahoma"/>
            <family val="2"/>
          </rPr>
          <t xml:space="preserve">
LB nacional, según Abarca 2016</t>
        </r>
      </text>
    </comment>
  </commentList>
</comments>
</file>

<file path=xl/comments3.xml><?xml version="1.0" encoding="utf-8"?>
<comments xmlns="http://schemas.openxmlformats.org/spreadsheetml/2006/main">
  <authors>
    <author>INTA-Investigación</author>
  </authors>
  <commentList>
    <comment ref="S30" authorId="0">
      <text>
        <r>
          <rPr>
            <b/>
            <sz val="9"/>
            <color indexed="26"/>
            <rFont val="Tahoma"/>
            <family val="2"/>
          </rPr>
          <t>INTA-Investigación:</t>
        </r>
        <r>
          <rPr>
            <sz val="9"/>
            <color indexed="26"/>
            <rFont val="Tahoma"/>
            <family val="2"/>
          </rPr>
          <t xml:space="preserve">
Adición ponderada por incremento en el consumo de conscentrado de acuerdo a reg: 0,0305x</t>
        </r>
        <r>
          <rPr>
            <vertAlign val="superscript"/>
            <sz val="9"/>
            <color indexed="26"/>
            <rFont val="Tahoma"/>
            <family val="2"/>
          </rPr>
          <t>2</t>
        </r>
        <r>
          <rPr>
            <sz val="9"/>
            <color indexed="26"/>
            <rFont val="Tahoma"/>
            <family val="2"/>
          </rPr>
          <t xml:space="preserve"> + 0,8453x - 0,1993.  R</t>
        </r>
        <r>
          <rPr>
            <vertAlign val="superscript"/>
            <sz val="9"/>
            <color indexed="26"/>
            <rFont val="Tahoma"/>
            <family val="2"/>
          </rPr>
          <t>2</t>
        </r>
        <r>
          <rPr>
            <sz val="9"/>
            <color indexed="26"/>
            <rFont val="Tahoma"/>
            <family val="2"/>
          </rPr>
          <t>=98 (rango de 0 a 12 kg de conc/v/d)</t>
        </r>
      </text>
    </comment>
  </commentList>
</comments>
</file>

<file path=xl/sharedStrings.xml><?xml version="1.0" encoding="utf-8"?>
<sst xmlns="http://schemas.openxmlformats.org/spreadsheetml/2006/main" count="409" uniqueCount="251">
  <si>
    <t>Cantidad</t>
  </si>
  <si>
    <t>ha</t>
  </si>
  <si>
    <t>Fertilizantes</t>
  </si>
  <si>
    <t>kg</t>
  </si>
  <si>
    <t>m</t>
  </si>
  <si>
    <t>metros</t>
  </si>
  <si>
    <t>Total</t>
  </si>
  <si>
    <t>Emisiones</t>
  </si>
  <si>
    <t>Ton</t>
  </si>
  <si>
    <t>%</t>
  </si>
  <si>
    <t>Electricidad</t>
  </si>
  <si>
    <t>Uso de fertilizantes</t>
  </si>
  <si>
    <t xml:space="preserve">Combustibles </t>
  </si>
  <si>
    <t>Remociones</t>
  </si>
  <si>
    <t>Suelo</t>
  </si>
  <si>
    <t>Cercas vivas</t>
  </si>
  <si>
    <t>Bosque</t>
  </si>
  <si>
    <t>Arboles dispersos</t>
  </si>
  <si>
    <t>Combustibles</t>
  </si>
  <si>
    <t>Terneros</t>
  </si>
  <si>
    <t>Terneras</t>
  </si>
  <si>
    <t>Novillos</t>
  </si>
  <si>
    <t>Novillas</t>
  </si>
  <si>
    <t>Animales</t>
  </si>
  <si>
    <t>Periodo analizado</t>
  </si>
  <si>
    <t>Pasto</t>
  </si>
  <si>
    <t>Suplemento</t>
  </si>
  <si>
    <t>Consumo</t>
  </si>
  <si>
    <t>Digestibilidad</t>
  </si>
  <si>
    <t>Ratio de ENm disponible en dieta de mant.REG, Eq 10.14 IPCC,2006</t>
  </si>
  <si>
    <t>NEm, Eq 10.8 IPCC,2006</t>
  </si>
  <si>
    <t>Ym</t>
  </si>
  <si>
    <r>
      <t>CH</t>
    </r>
    <r>
      <rPr>
        <b/>
        <vertAlign val="subscript"/>
        <sz val="20"/>
        <color theme="1"/>
        <rFont val="Calibri"/>
        <family val="2"/>
        <scheme val="minor"/>
      </rPr>
      <t>4</t>
    </r>
  </si>
  <si>
    <r>
      <t>CO</t>
    </r>
    <r>
      <rPr>
        <b/>
        <vertAlign val="subscript"/>
        <sz val="20"/>
        <color theme="5" tint="0.79998168889431442"/>
        <rFont val="Calibri"/>
        <family val="2"/>
        <scheme val="minor"/>
      </rPr>
      <t>2</t>
    </r>
    <r>
      <rPr>
        <b/>
        <sz val="20"/>
        <color theme="5" tint="0.79998168889431442"/>
        <rFont val="Calibri"/>
        <family val="2"/>
        <scheme val="minor"/>
      </rPr>
      <t xml:space="preserve"> </t>
    </r>
    <r>
      <rPr>
        <b/>
        <i/>
        <sz val="20"/>
        <color theme="5" tint="0.79998168889431442"/>
        <rFont val="Calibri"/>
        <family val="2"/>
        <scheme val="minor"/>
      </rPr>
      <t>e</t>
    </r>
  </si>
  <si>
    <t>Estimación de Consumo MS</t>
  </si>
  <si>
    <t>Categoría animal</t>
  </si>
  <si>
    <t>Edad</t>
  </si>
  <si>
    <t>Peso Vivo</t>
  </si>
  <si>
    <t>Fecha Inicial</t>
  </si>
  <si>
    <t>Fecha Final</t>
  </si>
  <si>
    <t>Periodo</t>
  </si>
  <si>
    <t>Digest.</t>
  </si>
  <si>
    <t>ED</t>
  </si>
  <si>
    <t>MS Total</t>
  </si>
  <si>
    <t>Ingesta</t>
  </si>
  <si>
    <t>Dieta</t>
  </si>
  <si>
    <t>Categoría Animal/periodo</t>
  </si>
  <si>
    <t>Finca/periodo</t>
  </si>
  <si>
    <t>Años</t>
  </si>
  <si>
    <t>Kg</t>
  </si>
  <si>
    <t>Número</t>
  </si>
  <si>
    <t>dd/mm/aa</t>
  </si>
  <si>
    <t>Días</t>
  </si>
  <si>
    <t>Kcal/kg MS</t>
  </si>
  <si>
    <t>% P.V:</t>
  </si>
  <si>
    <t>g/día</t>
  </si>
  <si>
    <t>TM</t>
  </si>
  <si>
    <t>Ecuación</t>
  </si>
  <si>
    <t>Vacas Adultas</t>
  </si>
  <si>
    <t>&gt; 3 años</t>
  </si>
  <si>
    <t>Eq 10.18b IPCC,2006 P. Tropicales leche</t>
  </si>
  <si>
    <t xml:space="preserve"> 2 a 3 años</t>
  </si>
  <si>
    <t>RNC, 2001 Animales en crecimiento</t>
  </si>
  <si>
    <t>4 a12 meses</t>
  </si>
  <si>
    <t>Toros</t>
  </si>
  <si>
    <t>&gt;2 años</t>
  </si>
  <si>
    <t>Eq 10.18a IPCC,2006 P. Tropicales carne</t>
  </si>
  <si>
    <t xml:space="preserve"> 1 a 2 años</t>
  </si>
  <si>
    <t>CH4</t>
  </si>
  <si>
    <t>Ton/año</t>
  </si>
  <si>
    <t>Fuente Estructura de Hato: CORFOGA 2015</t>
  </si>
  <si>
    <t>Fuente de cálculo: IPCC, 2006. Directrices para los inventarios nacionales de gases de efecto invernadero. Vol 4: Agricultura, silvicultura y otros usos de la tierra. Cap 10: Emisiones resultantesde la gestión del ganado y del estiercol . Pag 10.33 Ecuaciones 10.18a; 10.21</t>
  </si>
  <si>
    <t xml:space="preserve">Factor </t>
  </si>
  <si>
    <t>Emisión</t>
  </si>
  <si>
    <t xml:space="preserve"> kg/animal/año</t>
  </si>
  <si>
    <t xml:space="preserve"> kg/animal/categoría)</t>
  </si>
  <si>
    <t>CO2</t>
  </si>
  <si>
    <t>TON CO2</t>
  </si>
  <si>
    <t>Costo kg según mercado</t>
  </si>
  <si>
    <t>Urea</t>
  </si>
  <si>
    <t>46 % de Nitrógeno</t>
  </si>
  <si>
    <t>Convencional</t>
  </si>
  <si>
    <t>Sulfato de amonio</t>
  </si>
  <si>
    <t>21 % Nitrógeno 23,7 % S 71,1 % S SO4</t>
  </si>
  <si>
    <t>Nutrán</t>
  </si>
  <si>
    <t>33,5 % Nitrógeno</t>
  </si>
  <si>
    <t>PRECIO/Kg</t>
  </si>
  <si>
    <t>Extensión pastos (ha)</t>
  </si>
  <si>
    <t xml:space="preserve">kg N2O –N fert </t>
  </si>
  <si>
    <t>Costo / kw</t>
  </si>
  <si>
    <t>Factor de emisión kg CO2 e/kWh</t>
  </si>
  <si>
    <t>Ton emitidas CO2e /ha/año</t>
  </si>
  <si>
    <t>REMOCIONES</t>
  </si>
  <si>
    <t>Factores de Emisión</t>
  </si>
  <si>
    <t>Emisión Kg</t>
  </si>
  <si>
    <t>Combustible</t>
  </si>
  <si>
    <t>Litros</t>
  </si>
  <si>
    <t>Diesel</t>
  </si>
  <si>
    <t>Gasolina</t>
  </si>
  <si>
    <t>Cobertura vegetal</t>
  </si>
  <si>
    <t>%M.O</t>
  </si>
  <si>
    <t>%C</t>
  </si>
  <si>
    <t>DA</t>
  </si>
  <si>
    <t>Área finca</t>
  </si>
  <si>
    <t>COS Finca</t>
  </si>
  <si>
    <t>COS (10)</t>
  </si>
  <si>
    <t>Muestreo 1</t>
  </si>
  <si>
    <t xml:space="preserve">t/ha </t>
  </si>
  <si>
    <t xml:space="preserve">ha </t>
  </si>
  <si>
    <t>t</t>
  </si>
  <si>
    <t>Muestreo 2</t>
  </si>
  <si>
    <t>Año 2015</t>
  </si>
  <si>
    <t>Año 2016</t>
  </si>
  <si>
    <t>Suelos</t>
  </si>
  <si>
    <t>Brachiaria</t>
  </si>
  <si>
    <t>Pasto natural</t>
  </si>
  <si>
    <t>2015-16</t>
  </si>
  <si>
    <t>Remoción Neta por COS</t>
  </si>
  <si>
    <t>Diferencia</t>
  </si>
  <si>
    <t>C Tm</t>
  </si>
  <si>
    <t>Dife/año</t>
  </si>
  <si>
    <t>Conversión</t>
  </si>
  <si>
    <r>
      <t>CO</t>
    </r>
    <r>
      <rPr>
        <vertAlign val="subscript"/>
        <sz val="10"/>
        <color theme="0"/>
        <rFont val="Calibri"/>
        <family val="2"/>
        <scheme val="minor"/>
      </rPr>
      <t>2</t>
    </r>
    <r>
      <rPr>
        <sz val="10"/>
        <color theme="0"/>
        <rFont val="Calibri"/>
        <family val="2"/>
        <scheme val="minor"/>
      </rPr>
      <t xml:space="preserve"> </t>
    </r>
    <r>
      <rPr>
        <i/>
        <sz val="10"/>
        <color theme="0"/>
        <rFont val="Calibri"/>
        <family val="2"/>
        <scheme val="minor"/>
      </rPr>
      <t>e</t>
    </r>
  </si>
  <si>
    <t>Ton removidas CO2e /ha/año</t>
  </si>
  <si>
    <t>Emisiones Netas/ha/año</t>
  </si>
  <si>
    <t>Identificación de la cerca</t>
  </si>
  <si>
    <t>Tracto</t>
  </si>
  <si>
    <t>Diametro Medio</t>
  </si>
  <si>
    <t>Longitud de la cercas</t>
  </si>
  <si>
    <t>Edad Aprox</t>
  </si>
  <si>
    <t>Distancia entre arb.</t>
  </si>
  <si>
    <t>en tracto</t>
  </si>
  <si>
    <t>Km</t>
  </si>
  <si>
    <t>años</t>
  </si>
  <si>
    <t>Kg/arb</t>
  </si>
  <si>
    <t>t/cerca</t>
  </si>
  <si>
    <t>t/Km</t>
  </si>
  <si>
    <r>
      <t xml:space="preserve"> CO</t>
    </r>
    <r>
      <rPr>
        <b/>
        <vertAlign val="subscript"/>
        <sz val="24"/>
        <rFont val="Calibri"/>
        <family val="2"/>
        <scheme val="minor"/>
      </rPr>
      <t>2</t>
    </r>
  </si>
  <si>
    <r>
      <t>C → CO</t>
    </r>
    <r>
      <rPr>
        <vertAlign val="subscript"/>
        <sz val="10"/>
        <color theme="0"/>
        <rFont val="Calibri"/>
        <family val="2"/>
        <scheme val="minor"/>
      </rPr>
      <t>2</t>
    </r>
    <r>
      <rPr>
        <i/>
        <sz val="10"/>
        <color theme="0"/>
        <rFont val="Calibri"/>
        <family val="2"/>
        <scheme val="minor"/>
      </rPr>
      <t>e</t>
    </r>
  </si>
  <si>
    <r>
      <t>CO</t>
    </r>
    <r>
      <rPr>
        <b/>
        <vertAlign val="subscript"/>
        <sz val="11"/>
        <rFont val="Calibri"/>
        <family val="2"/>
        <scheme val="minor"/>
      </rPr>
      <t>2</t>
    </r>
  </si>
  <si>
    <r>
      <t>CH</t>
    </r>
    <r>
      <rPr>
        <b/>
        <vertAlign val="subscript"/>
        <sz val="11"/>
        <rFont val="Calibri"/>
        <family val="2"/>
        <scheme val="minor"/>
      </rPr>
      <t>4</t>
    </r>
  </si>
  <si>
    <r>
      <t>N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</t>
    </r>
  </si>
  <si>
    <r>
      <t>CO</t>
    </r>
    <r>
      <rPr>
        <b/>
        <i/>
        <vertAlign val="subscript"/>
        <sz val="11"/>
        <rFont val="Calibri"/>
        <family val="2"/>
        <scheme val="minor"/>
      </rPr>
      <t>2</t>
    </r>
    <r>
      <rPr>
        <b/>
        <i/>
        <sz val="11"/>
        <rFont val="Calibri"/>
        <family val="2"/>
        <scheme val="minor"/>
      </rPr>
      <t xml:space="preserve"> e</t>
    </r>
  </si>
  <si>
    <t># Árboles</t>
  </si>
  <si>
    <t>Altura</t>
  </si>
  <si>
    <t xml:space="preserve">ha 1 </t>
  </si>
  <si>
    <t>t/ha/año</t>
  </si>
  <si>
    <t>Bosquetes</t>
  </si>
  <si>
    <t>Tipo y estimación de edad del bosque en relación a memoria histórica</t>
  </si>
  <si>
    <t>Bosques</t>
  </si>
  <si>
    <t>Crecimiento biomasa bosque</t>
  </si>
  <si>
    <t>Tasa de captura Bosque</t>
  </si>
  <si>
    <t>MS/ha/año</t>
  </si>
  <si>
    <t>C/ha/año</t>
  </si>
  <si>
    <t>CO2e/ha/año</t>
  </si>
  <si>
    <t>ton/año</t>
  </si>
  <si>
    <t>Bosque 1</t>
  </si>
  <si>
    <t>Húmedo &gt; 20 años</t>
  </si>
  <si>
    <t>Bosque 2</t>
  </si>
  <si>
    <t>Húmedo ≤20 anos</t>
  </si>
  <si>
    <t>Tropical &gt; 20 años</t>
  </si>
  <si>
    <t>Tropical ≤20 anos</t>
  </si>
  <si>
    <r>
      <t>Captura CO</t>
    </r>
    <r>
      <rPr>
        <b/>
        <vertAlign val="sub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e Bosque</t>
    </r>
  </si>
  <si>
    <t>Bosque 3</t>
  </si>
  <si>
    <t>Bosque 4</t>
  </si>
  <si>
    <t>Árboles dispersos</t>
  </si>
  <si>
    <t>Identificación del potrero</t>
  </si>
  <si>
    <t>DAP</t>
  </si>
  <si>
    <t>Área</t>
  </si>
  <si>
    <t xml:space="preserve">Longitud </t>
  </si>
  <si>
    <t>TON CO2e</t>
  </si>
  <si>
    <t>COT (10cm ó 0,1m)</t>
  </si>
  <si>
    <t>EMISONES</t>
  </si>
  <si>
    <t>Gasto anual en fertilizantes</t>
  </si>
  <si>
    <t>Kg Fert aplicados</t>
  </si>
  <si>
    <t>Kg N aplicados</t>
  </si>
  <si>
    <t>Costos electricidad anual</t>
  </si>
  <si>
    <t>Facturación mensual electricidad</t>
  </si>
  <si>
    <t>Total de kw /año</t>
  </si>
  <si>
    <t>Facturación mensual aceites y lubricantes</t>
  </si>
  <si>
    <t>Aceites y Lubricantes</t>
  </si>
  <si>
    <t>Costos aceites y lubricantes anual</t>
  </si>
  <si>
    <t>Costo / L</t>
  </si>
  <si>
    <t>Facturación mensual GASOLINA</t>
  </si>
  <si>
    <t>Costos gasolina anual</t>
  </si>
  <si>
    <t>colones / L</t>
  </si>
  <si>
    <t>Facturación mensual DIESEL</t>
  </si>
  <si>
    <t>Litros de DIESEL anuales</t>
  </si>
  <si>
    <t>Litros de GASOLINA anuales</t>
  </si>
  <si>
    <t>Costos GAS anual</t>
  </si>
  <si>
    <t>Litros de GAS anuales</t>
  </si>
  <si>
    <t>Facturación mensual GAS</t>
  </si>
  <si>
    <t>GAS</t>
  </si>
  <si>
    <t>Bovinos Fermentación Entérica</t>
  </si>
  <si>
    <t xml:space="preserve">Bovinos Excretas Pastoreo </t>
  </si>
  <si>
    <t>Otros animales</t>
  </si>
  <si>
    <t>Búfalos</t>
  </si>
  <si>
    <t>Ovejas</t>
  </si>
  <si>
    <t>Caballos</t>
  </si>
  <si>
    <t>Cabras</t>
  </si>
  <si>
    <t>Cerdos</t>
  </si>
  <si>
    <t>Factor Emisión Digestión</t>
  </si>
  <si>
    <t>Factor Emisión Excretas</t>
  </si>
  <si>
    <t xml:space="preserve"> kg/año</t>
  </si>
  <si>
    <t xml:space="preserve">Bovinos Excretas </t>
  </si>
  <si>
    <t>Balance Carbono Finca Ganadera C.R.</t>
  </si>
  <si>
    <t>Categoría de tratamiento</t>
  </si>
  <si>
    <t>Compost</t>
  </si>
  <si>
    <t>Biodigestores</t>
  </si>
  <si>
    <t>Aguas residuales TANQUE SÉPTICO</t>
  </si>
  <si>
    <t>Aguas residuales DESCARGA RÍOS</t>
  </si>
  <si>
    <t>gCH4/kg</t>
  </si>
  <si>
    <t>gNO2/kg</t>
  </si>
  <si>
    <t>Residuos sólidos</t>
  </si>
  <si>
    <t>Cantidad (kg)</t>
  </si>
  <si>
    <t>NO2</t>
  </si>
  <si>
    <t>TOTAL</t>
  </si>
  <si>
    <t>CO2e</t>
  </si>
  <si>
    <t>Aguas residuales</t>
  </si>
  <si>
    <t>Cantidad de personas</t>
  </si>
  <si>
    <t>kgCH4/persona/año</t>
  </si>
  <si>
    <t>Total de L /año</t>
  </si>
  <si>
    <t>Información Finca Ganadera C.R.</t>
  </si>
  <si>
    <t>Nombre productor</t>
  </si>
  <si>
    <t>Teléfono</t>
  </si>
  <si>
    <t>Ubicación finca</t>
  </si>
  <si>
    <t>Extensión total</t>
  </si>
  <si>
    <t>Propósito</t>
  </si>
  <si>
    <t>Gastos mensuales</t>
  </si>
  <si>
    <t>₡</t>
  </si>
  <si>
    <t>Gas</t>
  </si>
  <si>
    <t>Ha pastos</t>
  </si>
  <si>
    <t xml:space="preserve">Cantidad de personas </t>
  </si>
  <si>
    <t>Tratamiento</t>
  </si>
  <si>
    <t>Biodigestor</t>
  </si>
  <si>
    <t>Casa?</t>
  </si>
  <si>
    <t>Baños?</t>
  </si>
  <si>
    <t>Compostaje</t>
  </si>
  <si>
    <t>Especies de pasto</t>
  </si>
  <si>
    <t>Análisis de suelo</t>
  </si>
  <si>
    <t>si</t>
  </si>
  <si>
    <t>no</t>
  </si>
  <si>
    <t>% Materia Orgánica</t>
  </si>
  <si>
    <t>Cercas vivas?</t>
  </si>
  <si>
    <t>Distancia siembra</t>
  </si>
  <si>
    <t>Ha Bosque</t>
  </si>
  <si>
    <t>Húmedo</t>
  </si>
  <si>
    <t>Especies de árboles</t>
  </si>
  <si>
    <t>Tropical</t>
  </si>
  <si>
    <t>Árboles en potreros?</t>
  </si>
  <si>
    <t>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</si>
</sst>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₡&quot;* #,##0.00_);_(&quot;₡&quot;* \(#,##0.00\);_(&quot;₡&quot;* &quot;-&quot;??_);_(@_)"/>
    <numFmt numFmtId="164" formatCode="#,##0.0"/>
    <numFmt numFmtId="165" formatCode="0.0"/>
    <numFmt numFmtId="166" formatCode="0.000"/>
    <numFmt numFmtId="167" formatCode="0.0000"/>
    <numFmt numFmtId="168" formatCode="_([$₡-140A]* #.#._);_([$₡-140A]* \(#.#.\);_([$₡-140A]* &quot;-&quot;??_);_(@_ⴆ"/>
    <numFmt numFmtId="169" formatCode="0.0000000"/>
    <numFmt numFmtId="170" formatCode="0.000000"/>
    <numFmt numFmtId="171" formatCode="0.00000"/>
    <numFmt numFmtId="172" formatCode="0.00;[Red]0.0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2" tint="-0.74999237037263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bscript"/>
      <sz val="20"/>
      <color theme="1"/>
      <name val="Calibri"/>
      <family val="2"/>
      <scheme val="minor"/>
    </font>
    <font>
      <b/>
      <sz val="20"/>
      <color theme="5" tint="0.79998168889431442"/>
      <name val="Calibri"/>
      <family val="2"/>
      <scheme val="minor"/>
    </font>
    <font>
      <b/>
      <vertAlign val="subscript"/>
      <sz val="20"/>
      <color theme="5" tint="0.79998168889431442"/>
      <name val="Calibri"/>
      <family val="2"/>
      <scheme val="minor"/>
    </font>
    <font>
      <b/>
      <i/>
      <sz val="20"/>
      <color theme="5" tint="0.79998168889431442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3" tint="0.7999816888943144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i/>
      <sz val="10"/>
      <color theme="0" tint="-4.9989318521683403E-2"/>
      <name val="Calibri"/>
      <family val="2"/>
      <scheme val="minor"/>
    </font>
    <font>
      <sz val="10"/>
      <name val="Arial"/>
      <family val="2"/>
    </font>
    <font>
      <sz val="10"/>
      <color theme="5" tint="0.79998168889431442"/>
      <name val="Calibri"/>
      <family val="2"/>
      <scheme val="minor"/>
    </font>
    <font>
      <b/>
      <sz val="9"/>
      <color indexed="26"/>
      <name val="Tahoma"/>
      <family val="2"/>
    </font>
    <font>
      <sz val="9"/>
      <color indexed="26"/>
      <name val="Tahoma"/>
      <family val="2"/>
    </font>
    <font>
      <vertAlign val="superscript"/>
      <sz val="9"/>
      <color indexed="26"/>
      <name val="Tahoma"/>
      <family val="2"/>
    </font>
    <font>
      <sz val="14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rgb="FF0000CC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theme="5" tint="0.79998168889431442"/>
      <name val="Calibri"/>
      <family val="2"/>
      <scheme val="minor"/>
    </font>
    <font>
      <sz val="10"/>
      <color theme="2" tint="-9.9978637043366805E-2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vertAlign val="subscript"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vertAlign val="subscript"/>
      <sz val="24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vertAlign val="subscript"/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color rgb="FFFF0000"/>
      <name val="Calibri"/>
      <family val="2"/>
      <scheme val="minor"/>
    </font>
    <font>
      <b/>
      <sz val="11"/>
      <color theme="1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gradientFill>
        <stop position="0">
          <color rgb="FFFFFF00"/>
        </stop>
        <stop position="1">
          <color theme="1" tint="0.25098422193060094"/>
        </stop>
      </gradient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5" tint="0.59999389629810485"/>
        </stop>
        <stop position="0.5">
          <color rgb="FFFF0000"/>
        </stop>
        <stop position="1">
          <color theme="5" tint="0.59999389629810485"/>
        </stop>
      </gradient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EDADA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1EA9F"/>
        <bgColor indexed="64"/>
      </patternFill>
    </fill>
    <fill>
      <patternFill patternType="solid">
        <fgColor rgb="FFD3E070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00B0F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/>
      <bottom style="medium">
        <color theme="6" tint="-0.49998474074526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indexed="64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indexed="64"/>
      </bottom>
      <diagonal/>
    </border>
    <border>
      <left style="medium">
        <color theme="6" tint="-0.499984740745262"/>
      </left>
      <right style="medium">
        <color theme="6" tint="-0.499984740745262"/>
      </right>
      <top/>
      <bottom style="medium">
        <color indexed="64"/>
      </bottom>
      <diagonal/>
    </border>
    <border>
      <left style="medium">
        <color theme="6" tint="-0.499984740745262"/>
      </left>
      <right style="thin">
        <color theme="6" tint="-0.499984740745262"/>
      </right>
      <top/>
      <bottom style="medium">
        <color indexed="64"/>
      </bottom>
      <diagonal/>
    </border>
    <border>
      <left/>
      <right style="medium">
        <color theme="6" tint="-0.499984740745262"/>
      </right>
      <top style="medium">
        <color indexed="64"/>
      </top>
      <bottom style="medium">
        <color indexed="64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indexed="64"/>
      </top>
      <bottom style="medium">
        <color indexed="64"/>
      </bottom>
      <diagonal/>
    </border>
    <border>
      <left style="medium">
        <color theme="6" tint="-0.499984740745262"/>
      </left>
      <right style="thin">
        <color theme="6" tint="-0.49998474074526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28" fillId="0" borderId="0"/>
    <xf numFmtId="0" fontId="40" fillId="0" borderId="0" applyNumberFormat="0" applyFill="0" applyBorder="0" applyAlignment="0" applyProtection="0"/>
  </cellStyleXfs>
  <cellXfs count="541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9" xfId="0" applyBorder="1"/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0" fillId="0" borderId="11" xfId="0" applyBorder="1"/>
    <xf numFmtId="164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9" xfId="0" applyFill="1" applyBorder="1"/>
    <xf numFmtId="0" fontId="3" fillId="0" borderId="0" xfId="0" applyFont="1" applyBorder="1" applyAlignment="1"/>
    <xf numFmtId="0" fontId="2" fillId="0" borderId="9" xfId="0" applyFont="1" applyBorder="1" applyAlignment="1">
      <alignment horizontal="center"/>
    </xf>
    <xf numFmtId="0" fontId="22" fillId="5" borderId="9" xfId="0" applyFont="1" applyFill="1" applyBorder="1" applyAlignment="1">
      <alignment horizontal="center"/>
    </xf>
    <xf numFmtId="0" fontId="25" fillId="7" borderId="9" xfId="0" applyFont="1" applyFill="1" applyBorder="1" applyAlignment="1">
      <alignment horizontal="center"/>
    </xf>
    <xf numFmtId="0" fontId="24" fillId="13" borderId="9" xfId="0" applyFont="1" applyFill="1" applyBorder="1" applyAlignment="1">
      <alignment horizontal="center"/>
    </xf>
    <xf numFmtId="0" fontId="27" fillId="16" borderId="3" xfId="0" applyFont="1" applyFill="1" applyBorder="1" applyAlignment="1">
      <alignment horizontal="center"/>
    </xf>
    <xf numFmtId="0" fontId="21" fillId="9" borderId="9" xfId="0" applyFont="1" applyFill="1" applyBorder="1" applyAlignment="1">
      <alignment horizontal="center"/>
    </xf>
    <xf numFmtId="0" fontId="22" fillId="5" borderId="9" xfId="0" applyFont="1" applyFill="1" applyBorder="1"/>
    <xf numFmtId="1" fontId="22" fillId="7" borderId="9" xfId="5" applyNumberFormat="1" applyFont="1" applyFill="1" applyBorder="1" applyAlignment="1" applyProtection="1">
      <alignment horizontal="center"/>
      <protection hidden="1"/>
    </xf>
    <xf numFmtId="1" fontId="22" fillId="7" borderId="9" xfId="0" applyNumberFormat="1" applyFont="1" applyFill="1" applyBorder="1"/>
    <xf numFmtId="165" fontId="22" fillId="7" borderId="11" xfId="0" applyNumberFormat="1" applyFont="1" applyFill="1" applyBorder="1" applyAlignment="1">
      <alignment horizontal="center"/>
    </xf>
    <xf numFmtId="165" fontId="29" fillId="17" borderId="11" xfId="0" applyNumberFormat="1" applyFont="1" applyFill="1" applyBorder="1" applyAlignment="1">
      <alignment horizontal="center"/>
    </xf>
    <xf numFmtId="0" fontId="21" fillId="9" borderId="9" xfId="0" applyFont="1" applyFill="1" applyBorder="1"/>
    <xf numFmtId="165" fontId="29" fillId="17" borderId="9" xfId="0" applyNumberFormat="1" applyFont="1" applyFill="1" applyBorder="1" applyAlignment="1">
      <alignment horizontal="center"/>
    </xf>
    <xf numFmtId="0" fontId="25" fillId="19" borderId="0" xfId="0" applyFont="1" applyFill="1"/>
    <xf numFmtId="0" fontId="25" fillId="19" borderId="0" xfId="0" applyFont="1" applyFill="1" applyAlignment="1">
      <alignment horizontal="center"/>
    </xf>
    <xf numFmtId="0" fontId="21" fillId="18" borderId="9" xfId="0" applyFont="1" applyFill="1" applyBorder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5" fillId="0" borderId="17" xfId="0" applyFont="1" applyBorder="1" applyAlignment="1">
      <alignment horizontal="center"/>
    </xf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35" fillId="21" borderId="17" xfId="0" applyFont="1" applyFill="1" applyBorder="1" applyAlignment="1">
      <alignment horizontal="center"/>
    </xf>
    <xf numFmtId="0" fontId="22" fillId="18" borderId="1" xfId="0" applyFont="1" applyFill="1" applyBorder="1"/>
    <xf numFmtId="0" fontId="22" fillId="18" borderId="29" xfId="0" applyFont="1" applyFill="1" applyBorder="1"/>
    <xf numFmtId="0" fontId="0" fillId="0" borderId="18" xfId="0" applyBorder="1"/>
    <xf numFmtId="0" fontId="0" fillId="0" borderId="15" xfId="0" applyBorder="1"/>
    <xf numFmtId="0" fontId="0" fillId="0" borderId="19" xfId="0" applyBorder="1"/>
    <xf numFmtId="0" fontId="0" fillId="0" borderId="0" xfId="0" applyFill="1" applyBorder="1"/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wrapText="1"/>
    </xf>
    <xf numFmtId="168" fontId="0" fillId="0" borderId="1" xfId="0" applyNumberFormat="1" applyBorder="1"/>
    <xf numFmtId="0" fontId="0" fillId="0" borderId="16" xfId="0" applyBorder="1"/>
    <xf numFmtId="2" fontId="33" fillId="0" borderId="17" xfId="0" applyNumberFormat="1" applyFont="1" applyBorder="1"/>
    <xf numFmtId="166" fontId="36" fillId="0" borderId="0" xfId="0" applyNumberFormat="1" applyFont="1" applyFill="1" applyBorder="1" applyAlignment="1">
      <alignment vertical="center" textRotation="90"/>
    </xf>
    <xf numFmtId="164" fontId="37" fillId="0" borderId="9" xfId="0" applyNumberFormat="1" applyFont="1" applyBorder="1" applyAlignment="1">
      <alignment horizontal="center"/>
    </xf>
    <xf numFmtId="2" fontId="36" fillId="0" borderId="0" xfId="0" applyNumberFormat="1" applyFont="1" applyFill="1" applyBorder="1" applyAlignment="1">
      <alignment horizontal="center" vertical="center" textRotation="90"/>
    </xf>
    <xf numFmtId="0" fontId="0" fillId="0" borderId="0" xfId="0" applyFill="1"/>
    <xf numFmtId="2" fontId="2" fillId="0" borderId="9" xfId="0" applyNumberFormat="1" applyFont="1" applyBorder="1"/>
    <xf numFmtId="0" fontId="5" fillId="24" borderId="0" xfId="0" applyFont="1" applyFill="1" applyBorder="1" applyAlignment="1">
      <alignment horizontal="center"/>
    </xf>
    <xf numFmtId="0" fontId="42" fillId="25" borderId="9" xfId="0" applyFont="1" applyFill="1" applyBorder="1" applyAlignment="1">
      <alignment horizontal="center"/>
    </xf>
    <xf numFmtId="0" fontId="21" fillId="26" borderId="9" xfId="0" applyFont="1" applyFill="1" applyBorder="1" applyAlignment="1">
      <alignment horizontal="center"/>
    </xf>
    <xf numFmtId="0" fontId="21" fillId="25" borderId="9" xfId="0" applyFont="1" applyFill="1" applyBorder="1" applyAlignment="1">
      <alignment horizontal="center"/>
    </xf>
    <xf numFmtId="172" fontId="22" fillId="27" borderId="9" xfId="0" applyNumberFormat="1" applyFont="1" applyFill="1" applyBorder="1" applyAlignment="1">
      <alignment horizontal="center"/>
    </xf>
    <xf numFmtId="2" fontId="25" fillId="27" borderId="9" xfId="0" applyNumberFormat="1" applyFont="1" applyFill="1" applyBorder="1" applyAlignment="1">
      <alignment horizontal="center"/>
    </xf>
    <xf numFmtId="2" fontId="21" fillId="25" borderId="9" xfId="0" applyNumberFormat="1" applyFont="1" applyFill="1" applyBorder="1" applyAlignment="1">
      <alignment horizontal="center"/>
    </xf>
    <xf numFmtId="165" fontId="21" fillId="25" borderId="9" xfId="0" applyNumberFormat="1" applyFont="1" applyFill="1" applyBorder="1" applyAlignment="1">
      <alignment horizontal="center"/>
    </xf>
    <xf numFmtId="2" fontId="25" fillId="28" borderId="9" xfId="0" applyNumberFormat="1" applyFont="1" applyFill="1" applyBorder="1" applyAlignment="1">
      <alignment horizontal="center"/>
    </xf>
    <xf numFmtId="2" fontId="21" fillId="26" borderId="9" xfId="0" applyNumberFormat="1" applyFont="1" applyFill="1" applyBorder="1" applyAlignment="1">
      <alignment horizontal="center"/>
    </xf>
    <xf numFmtId="165" fontId="21" fillId="26" borderId="9" xfId="0" applyNumberFormat="1" applyFont="1" applyFill="1" applyBorder="1" applyAlignment="1">
      <alignment horizontal="center"/>
    </xf>
    <xf numFmtId="0" fontId="44" fillId="29" borderId="35" xfId="0" applyFont="1" applyFill="1" applyBorder="1" applyAlignment="1">
      <alignment horizontal="center"/>
    </xf>
    <xf numFmtId="0" fontId="21" fillId="29" borderId="35" xfId="0" applyFont="1" applyFill="1" applyBorder="1" applyAlignment="1">
      <alignment horizontal="center"/>
    </xf>
    <xf numFmtId="0" fontId="6" fillId="29" borderId="35" xfId="0" applyFont="1" applyFill="1" applyBorder="1" applyAlignment="1">
      <alignment horizontal="center"/>
    </xf>
    <xf numFmtId="165" fontId="6" fillId="29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32" borderId="9" xfId="0" applyFont="1" applyFill="1" applyBorder="1" applyAlignment="1">
      <alignment horizontal="center" vertical="center" wrapText="1"/>
    </xf>
    <xf numFmtId="0" fontId="15" fillId="31" borderId="9" xfId="0" applyFont="1" applyFill="1" applyBorder="1" applyAlignment="1">
      <alignment horizontal="center" vertical="center" wrapText="1"/>
    </xf>
    <xf numFmtId="0" fontId="15" fillId="22" borderId="9" xfId="0" applyFont="1" applyFill="1" applyBorder="1" applyAlignment="1">
      <alignment horizontal="center" vertical="center" wrapText="1"/>
    </xf>
    <xf numFmtId="0" fontId="22" fillId="32" borderId="9" xfId="0" applyFont="1" applyFill="1" applyBorder="1" applyAlignment="1">
      <alignment horizontal="center"/>
    </xf>
    <xf numFmtId="2" fontId="22" fillId="32" borderId="9" xfId="0" applyNumberFormat="1" applyFont="1" applyFill="1" applyBorder="1" applyAlignment="1">
      <alignment horizontal="center"/>
    </xf>
    <xf numFmtId="165" fontId="22" fillId="32" borderId="9" xfId="0" applyNumberFormat="1" applyFont="1" applyFill="1" applyBorder="1" applyAlignment="1">
      <alignment horizontal="center"/>
    </xf>
    <xf numFmtId="0" fontId="22" fillId="31" borderId="9" xfId="0" applyFont="1" applyFill="1" applyBorder="1" applyAlignment="1">
      <alignment horizontal="center"/>
    </xf>
    <xf numFmtId="2" fontId="22" fillId="31" borderId="9" xfId="0" applyNumberFormat="1" applyFont="1" applyFill="1" applyBorder="1" applyAlignment="1">
      <alignment horizontal="center"/>
    </xf>
    <xf numFmtId="165" fontId="22" fillId="31" borderId="9" xfId="0" applyNumberFormat="1" applyFont="1" applyFill="1" applyBorder="1" applyAlignment="1">
      <alignment horizontal="center"/>
    </xf>
    <xf numFmtId="2" fontId="15" fillId="30" borderId="9" xfId="0" applyNumberFormat="1" applyFont="1" applyFill="1" applyBorder="1" applyAlignment="1">
      <alignment horizontal="center"/>
    </xf>
    <xf numFmtId="166" fontId="15" fillId="30" borderId="9" xfId="0" applyNumberFormat="1" applyFont="1" applyFill="1" applyBorder="1" applyAlignment="1">
      <alignment horizontal="center"/>
    </xf>
    <xf numFmtId="0" fontId="48" fillId="32" borderId="9" xfId="0" applyFont="1" applyFill="1" applyBorder="1" applyAlignment="1"/>
    <xf numFmtId="0" fontId="15" fillId="31" borderId="9" xfId="0" applyFont="1" applyFill="1" applyBorder="1" applyAlignment="1">
      <alignment horizontal="center"/>
    </xf>
    <xf numFmtId="2" fontId="15" fillId="31" borderId="9" xfId="0" applyNumberFormat="1" applyFont="1" applyFill="1" applyBorder="1" applyAlignment="1">
      <alignment horizontal="center"/>
    </xf>
    <xf numFmtId="0" fontId="15" fillId="31" borderId="9" xfId="0" applyFont="1" applyFill="1" applyBorder="1" applyAlignment="1"/>
    <xf numFmtId="0" fontId="15" fillId="30" borderId="9" xfId="0" applyFont="1" applyFill="1" applyBorder="1" applyAlignment="1"/>
    <xf numFmtId="0" fontId="0" fillId="0" borderId="26" xfId="0" applyFont="1" applyBorder="1"/>
    <xf numFmtId="172" fontId="22" fillId="27" borderId="3" xfId="0" applyNumberFormat="1" applyFont="1" applyFill="1" applyBorder="1" applyAlignment="1">
      <alignment horizontal="center"/>
    </xf>
    <xf numFmtId="165" fontId="22" fillId="27" borderId="9" xfId="0" applyNumberFormat="1" applyFont="1" applyFill="1" applyBorder="1" applyAlignment="1">
      <alignment horizontal="center"/>
    </xf>
    <xf numFmtId="172" fontId="22" fillId="28" borderId="9" xfId="0" applyNumberFormat="1" applyFont="1" applyFill="1" applyBorder="1" applyAlignment="1">
      <alignment horizontal="center"/>
    </xf>
    <xf numFmtId="165" fontId="22" fillId="28" borderId="9" xfId="0" applyNumberFormat="1" applyFont="1" applyFill="1" applyBorder="1" applyAlignment="1">
      <alignment horizontal="center"/>
    </xf>
    <xf numFmtId="0" fontId="22" fillId="24" borderId="9" xfId="0" applyFont="1" applyFill="1" applyBorder="1" applyAlignment="1">
      <alignment horizontal="left"/>
    </xf>
    <xf numFmtId="0" fontId="22" fillId="24" borderId="9" xfId="0" applyFont="1" applyFill="1" applyBorder="1"/>
    <xf numFmtId="0" fontId="0" fillId="0" borderId="0" xfId="0" applyFont="1"/>
    <xf numFmtId="0" fontId="15" fillId="24" borderId="9" xfId="0" applyFont="1" applyFill="1" applyBorder="1" applyAlignment="1">
      <alignment horizontal="center"/>
    </xf>
    <xf numFmtId="0" fontId="22" fillId="24" borderId="9" xfId="0" applyFont="1" applyFill="1" applyBorder="1" applyAlignment="1">
      <alignment horizontal="center"/>
    </xf>
    <xf numFmtId="0" fontId="0" fillId="0" borderId="9" xfId="0" applyFont="1" applyBorder="1"/>
    <xf numFmtId="44" fontId="0" fillId="0" borderId="9" xfId="0" applyNumberFormat="1" applyFont="1" applyBorder="1"/>
    <xf numFmtId="0" fontId="49" fillId="11" borderId="33" xfId="2" applyFont="1" applyFill="1" applyBorder="1"/>
    <xf numFmtId="0" fontId="23" fillId="11" borderId="33" xfId="2" applyFont="1" applyFill="1" applyBorder="1"/>
    <xf numFmtId="3" fontId="23" fillId="11" borderId="31" xfId="4" applyNumberFormat="1" applyFont="1" applyFill="1" applyBorder="1" applyAlignment="1" applyProtection="1">
      <alignment horizontal="center"/>
      <protection locked="0"/>
    </xf>
    <xf numFmtId="166" fontId="23" fillId="23" borderId="31" xfId="0" applyNumberFormat="1" applyFont="1" applyFill="1" applyBorder="1" applyAlignment="1">
      <alignment horizontal="center"/>
    </xf>
    <xf numFmtId="165" fontId="23" fillId="10" borderId="31" xfId="3" applyNumberFormat="1" applyFont="1" applyFill="1" applyBorder="1" applyAlignment="1">
      <alignment horizontal="center"/>
    </xf>
    <xf numFmtId="171" fontId="23" fillId="10" borderId="31" xfId="3" applyNumberFormat="1" applyFont="1" applyFill="1" applyBorder="1" applyAlignment="1">
      <alignment horizontal="center"/>
    </xf>
    <xf numFmtId="165" fontId="49" fillId="11" borderId="34" xfId="3" applyNumberFormat="1" applyFont="1" applyFill="1" applyBorder="1" applyAlignment="1">
      <alignment horizontal="center"/>
    </xf>
    <xf numFmtId="0" fontId="0" fillId="0" borderId="0" xfId="0" applyFont="1" applyFill="1" applyBorder="1"/>
    <xf numFmtId="2" fontId="0" fillId="0" borderId="0" xfId="0" applyNumberFormat="1" applyFont="1" applyFill="1" applyBorder="1"/>
    <xf numFmtId="0" fontId="2" fillId="33" borderId="9" xfId="0" applyFont="1" applyFill="1" applyBorder="1" applyAlignment="1">
      <alignment horizontal="center" wrapText="1"/>
    </xf>
    <xf numFmtId="0" fontId="2" fillId="34" borderId="9" xfId="0" applyFont="1" applyFill="1" applyBorder="1" applyAlignment="1">
      <alignment horizontal="center" wrapText="1"/>
    </xf>
    <xf numFmtId="0" fontId="0" fillId="33" borderId="9" xfId="0" applyFont="1" applyFill="1" applyBorder="1" applyAlignment="1">
      <alignment horizontal="center" wrapText="1"/>
    </xf>
    <xf numFmtId="0" fontId="0" fillId="33" borderId="9" xfId="0" applyFont="1" applyFill="1" applyBorder="1"/>
    <xf numFmtId="2" fontId="2" fillId="34" borderId="9" xfId="0" applyNumberFormat="1" applyFont="1" applyFill="1" applyBorder="1" applyAlignment="1">
      <alignment horizontal="center" wrapText="1"/>
    </xf>
    <xf numFmtId="0" fontId="0" fillId="33" borderId="9" xfId="0" applyFill="1" applyBorder="1"/>
    <xf numFmtId="0" fontId="3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/>
    </xf>
    <xf numFmtId="0" fontId="24" fillId="13" borderId="36" xfId="0" applyFont="1" applyFill="1" applyBorder="1" applyAlignment="1">
      <alignment horizontal="center"/>
    </xf>
    <xf numFmtId="0" fontId="49" fillId="24" borderId="9" xfId="0" applyFont="1" applyFill="1" applyBorder="1" applyAlignment="1">
      <alignment horizontal="center"/>
    </xf>
    <xf numFmtId="0" fontId="49" fillId="32" borderId="9" xfId="0" applyFont="1" applyFill="1" applyBorder="1" applyAlignment="1">
      <alignment horizontal="center" vertical="center" wrapText="1"/>
    </xf>
    <xf numFmtId="0" fontId="49" fillId="31" borderId="9" xfId="0" applyFont="1" applyFill="1" applyBorder="1" applyAlignment="1">
      <alignment horizontal="center" vertical="center" wrapText="1"/>
    </xf>
    <xf numFmtId="0" fontId="23" fillId="24" borderId="9" xfId="0" applyFont="1" applyFill="1" applyBorder="1" applyAlignment="1">
      <alignment horizontal="left"/>
    </xf>
    <xf numFmtId="0" fontId="49" fillId="22" borderId="9" xfId="0" applyFont="1" applyFill="1" applyBorder="1" applyAlignment="1">
      <alignment horizontal="center" vertical="center" wrapText="1"/>
    </xf>
    <xf numFmtId="0" fontId="23" fillId="24" borderId="9" xfId="0" applyFont="1" applyFill="1" applyBorder="1" applyAlignment="1">
      <alignment horizontal="center"/>
    </xf>
    <xf numFmtId="0" fontId="23" fillId="32" borderId="9" xfId="0" applyFont="1" applyFill="1" applyBorder="1" applyAlignment="1">
      <alignment horizontal="center"/>
    </xf>
    <xf numFmtId="2" fontId="23" fillId="32" borderId="9" xfId="0" applyNumberFormat="1" applyFont="1" applyFill="1" applyBorder="1" applyAlignment="1">
      <alignment horizontal="center"/>
    </xf>
    <xf numFmtId="165" fontId="23" fillId="32" borderId="9" xfId="0" applyNumberFormat="1" applyFont="1" applyFill="1" applyBorder="1" applyAlignment="1">
      <alignment horizontal="center"/>
    </xf>
    <xf numFmtId="0" fontId="23" fillId="31" borderId="9" xfId="0" applyFont="1" applyFill="1" applyBorder="1" applyAlignment="1">
      <alignment horizontal="center"/>
    </xf>
    <xf numFmtId="2" fontId="23" fillId="31" borderId="9" xfId="0" applyNumberFormat="1" applyFont="1" applyFill="1" applyBorder="1" applyAlignment="1">
      <alignment horizontal="center"/>
    </xf>
    <xf numFmtId="165" fontId="23" fillId="31" borderId="9" xfId="0" applyNumberFormat="1" applyFont="1" applyFill="1" applyBorder="1" applyAlignment="1">
      <alignment horizontal="center"/>
    </xf>
    <xf numFmtId="0" fontId="49" fillId="32" borderId="9" xfId="0" applyFont="1" applyFill="1" applyBorder="1" applyAlignment="1"/>
    <xf numFmtId="0" fontId="49" fillId="31" borderId="9" xfId="0" applyFont="1" applyFill="1" applyBorder="1" applyAlignment="1">
      <alignment horizontal="center"/>
    </xf>
    <xf numFmtId="2" fontId="49" fillId="31" borderId="9" xfId="0" applyNumberFormat="1" applyFont="1" applyFill="1" applyBorder="1" applyAlignment="1">
      <alignment horizontal="center"/>
    </xf>
    <xf numFmtId="0" fontId="49" fillId="31" borderId="9" xfId="0" applyFont="1" applyFill="1" applyBorder="1" applyAlignment="1"/>
    <xf numFmtId="0" fontId="49" fillId="22" borderId="1" xfId="0" applyFont="1" applyFill="1" applyBorder="1" applyAlignment="1">
      <alignment horizontal="center" vertical="center" wrapText="1"/>
    </xf>
    <xf numFmtId="2" fontId="49" fillId="30" borderId="9" xfId="0" applyNumberFormat="1" applyFont="1" applyFill="1" applyBorder="1" applyAlignment="1">
      <alignment horizontal="center"/>
    </xf>
    <xf numFmtId="2" fontId="49" fillId="30" borderId="1" xfId="0" applyNumberFormat="1" applyFont="1" applyFill="1" applyBorder="1" applyAlignment="1">
      <alignment horizontal="center"/>
    </xf>
    <xf numFmtId="0" fontId="49" fillId="30" borderId="9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4" fillId="0" borderId="40" xfId="0" applyFont="1" applyBorder="1"/>
    <xf numFmtId="0" fontId="0" fillId="0" borderId="41" xfId="0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0" fillId="0" borderId="40" xfId="0" applyFill="1" applyBorder="1"/>
    <xf numFmtId="0" fontId="2" fillId="0" borderId="40" xfId="0" applyFont="1" applyFill="1" applyBorder="1"/>
    <xf numFmtId="0" fontId="0" fillId="0" borderId="22" xfId="0" applyFill="1" applyBorder="1"/>
    <xf numFmtId="0" fontId="4" fillId="0" borderId="42" xfId="0" applyFont="1" applyBorder="1"/>
    <xf numFmtId="4" fontId="37" fillId="0" borderId="43" xfId="0" applyNumberFormat="1" applyFont="1" applyBorder="1" applyAlignment="1"/>
    <xf numFmtId="4" fontId="37" fillId="0" borderId="44" xfId="0" applyNumberFormat="1" applyFont="1" applyBorder="1" applyAlignment="1"/>
    <xf numFmtId="0" fontId="0" fillId="0" borderId="9" xfId="0" applyBorder="1" applyAlignment="1">
      <alignment horizontal="center"/>
    </xf>
    <xf numFmtId="0" fontId="0" fillId="0" borderId="45" xfId="0" applyBorder="1"/>
    <xf numFmtId="0" fontId="0" fillId="0" borderId="46" xfId="0" applyBorder="1"/>
    <xf numFmtId="0" fontId="10" fillId="22" borderId="3" xfId="0" applyFont="1" applyFill="1" applyBorder="1" applyAlignment="1">
      <alignment horizontal="center" vertical="center"/>
    </xf>
    <xf numFmtId="0" fontId="22" fillId="22" borderId="9" xfId="0" applyFont="1" applyFill="1" applyBorder="1" applyAlignment="1">
      <alignment horizontal="center"/>
    </xf>
    <xf numFmtId="0" fontId="22" fillId="22" borderId="3" xfId="0" applyFont="1" applyFill="1" applyBorder="1" applyAlignment="1">
      <alignment horizontal="center"/>
    </xf>
    <xf numFmtId="0" fontId="23" fillId="22" borderId="9" xfId="0" applyFont="1" applyFill="1" applyBorder="1" applyAlignment="1">
      <alignment horizontal="center"/>
    </xf>
    <xf numFmtId="0" fontId="25" fillId="22" borderId="9" xfId="0" applyFont="1" applyFill="1" applyBorder="1" applyAlignment="1">
      <alignment horizontal="center"/>
    </xf>
    <xf numFmtId="0" fontId="22" fillId="22" borderId="9" xfId="0" applyFont="1" applyFill="1" applyBorder="1"/>
    <xf numFmtId="165" fontId="22" fillId="22" borderId="9" xfId="0" applyNumberFormat="1" applyFont="1" applyFill="1" applyBorder="1" applyAlignment="1">
      <alignment horizontal="center"/>
    </xf>
    <xf numFmtId="165" fontId="22" fillId="22" borderId="3" xfId="0" applyNumberFormat="1" applyFont="1" applyFill="1" applyBorder="1" applyAlignment="1">
      <alignment horizontal="center"/>
    </xf>
    <xf numFmtId="14" fontId="23" fillId="22" borderId="9" xfId="0" applyNumberFormat="1" applyFont="1" applyFill="1" applyBorder="1" applyAlignment="1">
      <alignment vertical="center"/>
    </xf>
    <xf numFmtId="165" fontId="23" fillId="22" borderId="9" xfId="0" applyNumberFormat="1" applyFont="1" applyFill="1" applyBorder="1" applyAlignment="1">
      <alignment horizontal="center" vertical="center"/>
    </xf>
    <xf numFmtId="165" fontId="22" fillId="22" borderId="3" xfId="5" applyNumberFormat="1" applyFont="1" applyFill="1" applyBorder="1" applyAlignment="1" applyProtection="1">
      <alignment horizontal="center"/>
      <protection hidden="1"/>
    </xf>
    <xf numFmtId="1" fontId="22" fillId="22" borderId="9" xfId="5" applyNumberFormat="1" applyFont="1" applyFill="1" applyBorder="1" applyAlignment="1" applyProtection="1">
      <alignment horizontal="center"/>
      <protection hidden="1"/>
    </xf>
    <xf numFmtId="165" fontId="25" fillId="22" borderId="9" xfId="0" applyNumberFormat="1" applyFont="1" applyFill="1" applyBorder="1" applyAlignment="1">
      <alignment horizontal="center"/>
    </xf>
    <xf numFmtId="166" fontId="0" fillId="22" borderId="9" xfId="0" applyNumberFormat="1" applyFill="1" applyBorder="1" applyAlignment="1">
      <alignment horizontal="center"/>
    </xf>
    <xf numFmtId="165" fontId="0" fillId="22" borderId="9" xfId="0" applyNumberFormat="1" applyFill="1" applyBorder="1" applyAlignment="1">
      <alignment horizontal="center"/>
    </xf>
    <xf numFmtId="165" fontId="22" fillId="22" borderId="9" xfId="5" applyNumberFormat="1" applyFont="1" applyFill="1" applyBorder="1" applyAlignment="1" applyProtection="1">
      <alignment horizontal="center"/>
      <protection hidden="1"/>
    </xf>
    <xf numFmtId="2" fontId="22" fillId="22" borderId="9" xfId="0" applyNumberFormat="1" applyFont="1" applyFill="1" applyBorder="1" applyAlignment="1">
      <alignment horizontal="center"/>
    </xf>
    <xf numFmtId="16" fontId="22" fillId="22" borderId="9" xfId="0" applyNumberFormat="1" applyFont="1" applyFill="1" applyBorder="1" applyAlignment="1">
      <alignment horizontal="center"/>
    </xf>
    <xf numFmtId="0" fontId="22" fillId="22" borderId="0" xfId="0" applyFont="1" applyFill="1" applyBorder="1"/>
    <xf numFmtId="0" fontId="23" fillId="22" borderId="0" xfId="0" applyFont="1" applyFill="1" applyBorder="1" applyAlignment="1">
      <alignment horizontal="center" vertical="center"/>
    </xf>
    <xf numFmtId="165" fontId="22" fillId="22" borderId="0" xfId="0" applyNumberFormat="1" applyFont="1" applyFill="1"/>
    <xf numFmtId="0" fontId="22" fillId="22" borderId="0" xfId="0" applyFont="1" applyFill="1"/>
    <xf numFmtId="1" fontId="22" fillId="22" borderId="0" xfId="0" applyNumberFormat="1" applyFont="1" applyFill="1"/>
    <xf numFmtId="0" fontId="25" fillId="35" borderId="0" xfId="0" applyFont="1" applyFill="1"/>
    <xf numFmtId="0" fontId="22" fillId="35" borderId="0" xfId="0" applyFont="1" applyFill="1"/>
    <xf numFmtId="0" fontId="0" fillId="22" borderId="0" xfId="0" applyFill="1"/>
    <xf numFmtId="0" fontId="22" fillId="22" borderId="2" xfId="0" applyFont="1" applyFill="1" applyBorder="1" applyAlignment="1">
      <alignment horizontal="center"/>
    </xf>
    <xf numFmtId="167" fontId="22" fillId="22" borderId="2" xfId="0" applyNumberFormat="1" applyFont="1" applyFill="1" applyBorder="1" applyAlignment="1">
      <alignment horizontal="center"/>
    </xf>
    <xf numFmtId="166" fontId="22" fillId="22" borderId="2" xfId="0" applyNumberFormat="1" applyFont="1" applyFill="1" applyBorder="1" applyAlignment="1">
      <alignment horizontal="center"/>
    </xf>
    <xf numFmtId="171" fontId="23" fillId="23" borderId="31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22" borderId="28" xfId="0" applyFill="1" applyBorder="1"/>
    <xf numFmtId="0" fontId="0" fillId="0" borderId="38" xfId="0" applyBorder="1"/>
    <xf numFmtId="44" fontId="0" fillId="0" borderId="39" xfId="0" applyNumberFormat="1" applyBorder="1"/>
    <xf numFmtId="44" fontId="0" fillId="0" borderId="41" xfId="0" applyNumberFormat="1" applyBorder="1"/>
    <xf numFmtId="0" fontId="0" fillId="0" borderId="42" xfId="0" applyBorder="1" applyAlignment="1">
      <alignment vertical="center"/>
    </xf>
    <xf numFmtId="0" fontId="0" fillId="0" borderId="51" xfId="0" applyBorder="1" applyAlignment="1">
      <alignment vertical="center" wrapText="1"/>
    </xf>
    <xf numFmtId="44" fontId="0" fillId="0" borderId="0" xfId="0" applyNumberFormat="1" applyBorder="1"/>
    <xf numFmtId="168" fontId="0" fillId="0" borderId="0" xfId="0" applyNumberFormat="1" applyBorder="1"/>
    <xf numFmtId="0" fontId="0" fillId="0" borderId="42" xfId="0" applyBorder="1"/>
    <xf numFmtId="0" fontId="0" fillId="0" borderId="52" xfId="0" applyBorder="1"/>
    <xf numFmtId="168" fontId="0" fillId="0" borderId="43" xfId="0" applyNumberFormat="1" applyBorder="1"/>
    <xf numFmtId="0" fontId="34" fillId="6" borderId="19" xfId="0" applyFont="1" applyFill="1" applyBorder="1" applyAlignment="1">
      <alignment vertical="center"/>
    </xf>
    <xf numFmtId="0" fontId="25" fillId="0" borderId="0" xfId="0" applyFont="1" applyFill="1" applyBorder="1"/>
    <xf numFmtId="0" fontId="39" fillId="0" borderId="0" xfId="0" applyFont="1" applyFill="1" applyBorder="1"/>
    <xf numFmtId="0" fontId="40" fillId="0" borderId="0" xfId="6" applyFont="1" applyFill="1" applyBorder="1" applyAlignment="1" applyProtection="1"/>
    <xf numFmtId="0" fontId="0" fillId="0" borderId="9" xfId="0" applyFont="1" applyBorder="1" applyAlignment="1">
      <alignment wrapText="1"/>
    </xf>
    <xf numFmtId="0" fontId="2" fillId="0" borderId="9" xfId="0" applyFont="1" applyBorder="1"/>
    <xf numFmtId="0" fontId="38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44" fillId="29" borderId="54" xfId="0" applyFont="1" applyFill="1" applyBorder="1" applyAlignment="1">
      <alignment horizontal="center"/>
    </xf>
    <xf numFmtId="172" fontId="22" fillId="0" borderId="0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2" fontId="25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/>
    <xf numFmtId="0" fontId="15" fillId="0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/>
    <xf numFmtId="0" fontId="41" fillId="0" borderId="0" xfId="0" applyFont="1" applyFill="1" applyBorder="1" applyAlignment="1">
      <alignment vertical="center"/>
    </xf>
    <xf numFmtId="0" fontId="0" fillId="0" borderId="40" xfId="0" applyFont="1" applyBorder="1"/>
    <xf numFmtId="44" fontId="0" fillId="0" borderId="41" xfId="0" applyNumberFormat="1" applyFont="1" applyBorder="1"/>
    <xf numFmtId="0" fontId="0" fillId="0" borderId="40" xfId="0" applyFont="1" applyBorder="1" applyAlignment="1">
      <alignment wrapText="1"/>
    </xf>
    <xf numFmtId="0" fontId="2" fillId="0" borderId="42" xfId="0" applyFont="1" applyBorder="1"/>
    <xf numFmtId="2" fontId="2" fillId="0" borderId="51" xfId="0" applyNumberFormat="1" applyFont="1" applyBorder="1"/>
    <xf numFmtId="166" fontId="36" fillId="0" borderId="0" xfId="0" applyNumberFormat="1" applyFont="1" applyFill="1" applyBorder="1" applyAlignment="1">
      <alignment horizontal="center" vertical="center" textRotation="90"/>
    </xf>
    <xf numFmtId="0" fontId="0" fillId="0" borderId="11" xfId="0" applyFont="1" applyBorder="1"/>
    <xf numFmtId="44" fontId="0" fillId="0" borderId="11" xfId="0" applyNumberFormat="1" applyFont="1" applyBorder="1"/>
    <xf numFmtId="0" fontId="23" fillId="11" borderId="57" xfId="2" applyFont="1" applyFill="1" applyBorder="1"/>
    <xf numFmtId="3" fontId="23" fillId="11" borderId="58" xfId="4" applyNumberFormat="1" applyFont="1" applyFill="1" applyBorder="1" applyAlignment="1" applyProtection="1">
      <alignment horizontal="center"/>
      <protection locked="0"/>
    </xf>
    <xf numFmtId="166" fontId="23" fillId="23" borderId="58" xfId="0" applyNumberFormat="1" applyFont="1" applyFill="1" applyBorder="1" applyAlignment="1">
      <alignment horizontal="center"/>
    </xf>
    <xf numFmtId="171" fontId="23" fillId="23" borderId="58" xfId="0" applyNumberFormat="1" applyFont="1" applyFill="1" applyBorder="1" applyAlignment="1">
      <alignment horizontal="center"/>
    </xf>
    <xf numFmtId="165" fontId="23" fillId="10" borderId="58" xfId="3" applyNumberFormat="1" applyFont="1" applyFill="1" applyBorder="1" applyAlignment="1">
      <alignment horizontal="center"/>
    </xf>
    <xf numFmtId="171" fontId="23" fillId="10" borderId="58" xfId="3" applyNumberFormat="1" applyFont="1" applyFill="1" applyBorder="1" applyAlignment="1">
      <alignment horizontal="center"/>
    </xf>
    <xf numFmtId="165" fontId="49" fillId="11" borderId="59" xfId="3" applyNumberFormat="1" applyFont="1" applyFill="1" applyBorder="1" applyAlignment="1">
      <alignment horizontal="center"/>
    </xf>
    <xf numFmtId="0" fontId="49" fillId="11" borderId="62" xfId="2" applyFont="1" applyFill="1" applyBorder="1"/>
    <xf numFmtId="0" fontId="49" fillId="11" borderId="63" xfId="4" applyFont="1" applyFill="1" applyBorder="1" applyAlignment="1">
      <alignment horizontal="center"/>
    </xf>
    <xf numFmtId="0" fontId="49" fillId="11" borderId="32" xfId="4" applyFont="1" applyFill="1" applyBorder="1"/>
    <xf numFmtId="0" fontId="49" fillId="23" borderId="64" xfId="0" applyFont="1" applyFill="1" applyBorder="1" applyAlignment="1">
      <alignment horizontal="center"/>
    </xf>
    <xf numFmtId="0" fontId="49" fillId="10" borderId="64" xfId="3" applyFont="1" applyFill="1" applyBorder="1" applyAlignment="1">
      <alignment horizontal="center"/>
    </xf>
    <xf numFmtId="0" fontId="49" fillId="10" borderId="64" xfId="0" applyFont="1" applyFill="1" applyBorder="1" applyAlignment="1">
      <alignment horizontal="center"/>
    </xf>
    <xf numFmtId="0" fontId="51" fillId="11" borderId="65" xfId="3" applyFont="1" applyFill="1" applyBorder="1" applyAlignment="1">
      <alignment horizontal="center" vertical="center"/>
    </xf>
    <xf numFmtId="0" fontId="0" fillId="0" borderId="28" xfId="0" applyFont="1" applyBorder="1"/>
    <xf numFmtId="0" fontId="49" fillId="11" borderId="68" xfId="3" applyFont="1" applyFill="1" applyBorder="1" applyAlignment="1">
      <alignment horizontal="center"/>
    </xf>
    <xf numFmtId="0" fontId="24" fillId="13" borderId="49" xfId="0" applyFont="1" applyFill="1" applyBorder="1" applyAlignment="1">
      <alignment horizontal="center"/>
    </xf>
    <xf numFmtId="1" fontId="22" fillId="22" borderId="9" xfId="0" applyNumberFormat="1" applyFont="1" applyFill="1" applyBorder="1" applyAlignment="1">
      <alignment horizontal="center"/>
    </xf>
    <xf numFmtId="1" fontId="22" fillId="22" borderId="8" xfId="0" applyNumberFormat="1" applyFont="1" applyFill="1" applyBorder="1" applyAlignment="1">
      <alignment horizontal="center"/>
    </xf>
    <xf numFmtId="165" fontId="22" fillId="22" borderId="8" xfId="0" applyNumberFormat="1" applyFont="1" applyFill="1" applyBorder="1" applyAlignment="1">
      <alignment horizontal="center"/>
    </xf>
    <xf numFmtId="16" fontId="22" fillId="0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2" fontId="22" fillId="22" borderId="2" xfId="0" applyNumberFormat="1" applyFont="1" applyFill="1" applyBorder="1" applyAlignment="1">
      <alignment horizontal="center"/>
    </xf>
    <xf numFmtId="2" fontId="22" fillId="22" borderId="1" xfId="0" applyNumberFormat="1" applyFont="1" applyFill="1" applyBorder="1" applyAlignment="1">
      <alignment horizontal="center"/>
    </xf>
    <xf numFmtId="167" fontId="22" fillId="0" borderId="0" xfId="0" applyNumberFormat="1" applyFont="1" applyFill="1" applyBorder="1" applyAlignment="1">
      <alignment horizontal="center"/>
    </xf>
    <xf numFmtId="2" fontId="22" fillId="22" borderId="12" xfId="0" applyNumberFormat="1" applyFont="1" applyFill="1" applyBorder="1" applyAlignment="1">
      <alignment horizontal="center"/>
    </xf>
    <xf numFmtId="165" fontId="22" fillId="22" borderId="11" xfId="0" applyNumberFormat="1" applyFont="1" applyFill="1" applyBorder="1" applyAlignment="1">
      <alignment horizontal="center"/>
    </xf>
    <xf numFmtId="1" fontId="22" fillId="22" borderId="11" xfId="0" applyNumberFormat="1" applyFont="1" applyFill="1" applyBorder="1" applyAlignment="1">
      <alignment horizontal="center"/>
    </xf>
    <xf numFmtId="0" fontId="35" fillId="21" borderId="19" xfId="0" applyFont="1" applyFill="1" applyBorder="1" applyAlignment="1">
      <alignment horizontal="center"/>
    </xf>
    <xf numFmtId="165" fontId="22" fillId="22" borderId="40" xfId="0" applyNumberFormat="1" applyFont="1" applyFill="1" applyBorder="1" applyAlignment="1">
      <alignment horizontal="center"/>
    </xf>
    <xf numFmtId="165" fontId="22" fillId="22" borderId="41" xfId="0" applyNumberFormat="1" applyFont="1" applyFill="1" applyBorder="1" applyAlignment="1">
      <alignment horizontal="center"/>
    </xf>
    <xf numFmtId="0" fontId="22" fillId="22" borderId="45" xfId="0" applyFont="1" applyFill="1" applyBorder="1"/>
    <xf numFmtId="0" fontId="22" fillId="22" borderId="40" xfId="0" applyFont="1" applyFill="1" applyBorder="1"/>
    <xf numFmtId="165" fontId="22" fillId="22" borderId="36" xfId="0" applyNumberFormat="1" applyFont="1" applyFill="1" applyBorder="1" applyAlignment="1">
      <alignment horizontal="center"/>
    </xf>
    <xf numFmtId="165" fontId="22" fillId="22" borderId="29" xfId="0" applyNumberFormat="1" applyFont="1" applyFill="1" applyBorder="1" applyAlignment="1">
      <alignment horizontal="center"/>
    </xf>
    <xf numFmtId="0" fontId="22" fillId="22" borderId="71" xfId="0" applyFont="1" applyFill="1" applyBorder="1"/>
    <xf numFmtId="2" fontId="22" fillId="22" borderId="6" xfId="0" applyNumberFormat="1" applyFont="1" applyFill="1" applyBorder="1" applyAlignment="1">
      <alignment horizontal="center"/>
    </xf>
    <xf numFmtId="165" fontId="22" fillId="22" borderId="71" xfId="0" applyNumberFormat="1" applyFont="1" applyFill="1" applyBorder="1" applyAlignment="1">
      <alignment horizontal="center"/>
    </xf>
    <xf numFmtId="165" fontId="22" fillId="22" borderId="50" xfId="0" applyNumberFormat="1" applyFont="1" applyFill="1" applyBorder="1" applyAlignment="1">
      <alignment horizontal="center"/>
    </xf>
    <xf numFmtId="165" fontId="22" fillId="22" borderId="72" xfId="0" applyNumberFormat="1" applyFont="1" applyFill="1" applyBorder="1" applyAlignment="1">
      <alignment horizontal="center"/>
    </xf>
    <xf numFmtId="0" fontId="22" fillId="0" borderId="18" xfId="0" applyFont="1" applyFill="1" applyBorder="1"/>
    <xf numFmtId="2" fontId="22" fillId="0" borderId="15" xfId="0" applyNumberFormat="1" applyFont="1" applyFill="1" applyBorder="1" applyAlignment="1">
      <alignment horizontal="center"/>
    </xf>
    <xf numFmtId="165" fontId="22" fillId="0" borderId="15" xfId="0" applyNumberFormat="1" applyFont="1" applyFill="1" applyBorder="1" applyAlignment="1">
      <alignment horizontal="center"/>
    </xf>
    <xf numFmtId="166" fontId="22" fillId="0" borderId="15" xfId="0" applyNumberFormat="1" applyFont="1" applyFill="1" applyBorder="1" applyAlignment="1">
      <alignment horizontal="center"/>
    </xf>
    <xf numFmtId="166" fontId="22" fillId="0" borderId="19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4" fillId="0" borderId="12" xfId="0" applyFont="1" applyFill="1" applyBorder="1" applyAlignment="1">
      <alignment vertical="center"/>
    </xf>
    <xf numFmtId="0" fontId="25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22" fillId="22" borderId="12" xfId="0" applyNumberFormat="1" applyFont="1" applyFill="1" applyBorder="1" applyAlignment="1">
      <alignment horizontal="center"/>
    </xf>
    <xf numFmtId="165" fontId="22" fillId="22" borderId="2" xfId="0" applyNumberFormat="1" applyFont="1" applyFill="1" applyBorder="1" applyAlignment="1">
      <alignment horizontal="center"/>
    </xf>
    <xf numFmtId="165" fontId="22" fillId="22" borderId="46" xfId="0" applyNumberFormat="1" applyFont="1" applyFill="1" applyBorder="1" applyAlignment="1">
      <alignment horizontal="center"/>
    </xf>
    <xf numFmtId="165" fontId="22" fillId="22" borderId="45" xfId="0" applyNumberFormat="1" applyFont="1" applyFill="1" applyBorder="1" applyAlignment="1">
      <alignment horizontal="center"/>
    </xf>
    <xf numFmtId="0" fontId="35" fillId="20" borderId="17" xfId="0" applyFont="1" applyFill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35" fillId="21" borderId="15" xfId="0" applyFont="1" applyFill="1" applyBorder="1" applyAlignment="1">
      <alignment horizontal="center"/>
    </xf>
    <xf numFmtId="165" fontId="22" fillId="22" borderId="69" xfId="0" applyNumberFormat="1" applyFont="1" applyFill="1" applyBorder="1" applyAlignment="1">
      <alignment horizontal="center"/>
    </xf>
    <xf numFmtId="165" fontId="22" fillId="22" borderId="73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166" fontId="22" fillId="22" borderId="11" xfId="0" applyNumberFormat="1" applyFont="1" applyFill="1" applyBorder="1" applyAlignment="1">
      <alignment horizontal="center"/>
    </xf>
    <xf numFmtId="166" fontId="22" fillId="22" borderId="8" xfId="0" applyNumberFormat="1" applyFont="1" applyFill="1" applyBorder="1" applyAlignment="1">
      <alignment horizontal="center"/>
    </xf>
    <xf numFmtId="165" fontId="22" fillId="22" borderId="20" xfId="0" applyNumberFormat="1" applyFont="1" applyFill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4" fontId="23" fillId="0" borderId="0" xfId="0" applyNumberFormat="1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horizontal="center" vertical="center"/>
    </xf>
    <xf numFmtId="165" fontId="22" fillId="0" borderId="0" xfId="5" applyNumberFormat="1" applyFont="1" applyFill="1" applyBorder="1" applyAlignment="1" applyProtection="1">
      <alignment horizontal="center"/>
      <protection hidden="1"/>
    </xf>
    <xf numFmtId="1" fontId="22" fillId="0" borderId="0" xfId="5" applyNumberFormat="1" applyFont="1" applyFill="1" applyBorder="1" applyAlignment="1" applyProtection="1">
      <alignment horizontal="center"/>
      <protection hidden="1"/>
    </xf>
    <xf numFmtId="165" fontId="24" fillId="0" borderId="0" xfId="0" applyNumberFormat="1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" fontId="22" fillId="0" borderId="0" xfId="0" applyNumberFormat="1" applyFont="1" applyFill="1" applyBorder="1"/>
    <xf numFmtId="165" fontId="29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165" fontId="22" fillId="0" borderId="0" xfId="0" applyNumberFormat="1" applyFont="1" applyFill="1" applyBorder="1"/>
    <xf numFmtId="0" fontId="24" fillId="0" borderId="0" xfId="0" applyFont="1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44" fontId="0" fillId="0" borderId="0" xfId="0" applyNumberFormat="1" applyFill="1" applyBorder="1"/>
    <xf numFmtId="2" fontId="33" fillId="0" borderId="0" xfId="0" applyNumberFormat="1" applyFont="1" applyFill="1" applyBorder="1"/>
    <xf numFmtId="168" fontId="0" fillId="0" borderId="0" xfId="0" applyNumberFormat="1" applyFill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10" fontId="0" fillId="0" borderId="0" xfId="0" applyNumberFormat="1" applyFill="1" applyBorder="1"/>
    <xf numFmtId="2" fontId="0" fillId="0" borderId="0" xfId="0" applyNumberFormat="1" applyFill="1" applyBorder="1"/>
    <xf numFmtId="44" fontId="0" fillId="0" borderId="0" xfId="0" applyNumberFormat="1" applyFont="1" applyFill="1" applyBorder="1"/>
    <xf numFmtId="0" fontId="49" fillId="0" borderId="0" xfId="2" applyFont="1" applyFill="1" applyBorder="1"/>
    <xf numFmtId="0" fontId="49" fillId="0" borderId="0" xfId="4" applyFont="1" applyFill="1" applyBorder="1"/>
    <xf numFmtId="0" fontId="49" fillId="0" borderId="0" xfId="3" applyFont="1" applyFill="1" applyBorder="1" applyAlignment="1">
      <alignment horizontal="center"/>
    </xf>
    <xf numFmtId="0" fontId="49" fillId="0" borderId="0" xfId="4" applyFont="1" applyFill="1" applyBorder="1" applyAlignment="1">
      <alignment horizontal="center"/>
    </xf>
    <xf numFmtId="0" fontId="51" fillId="0" borderId="0" xfId="3" applyFont="1" applyFill="1" applyBorder="1" applyAlignment="1">
      <alignment horizontal="center" vertical="center"/>
    </xf>
    <xf numFmtId="0" fontId="23" fillId="0" borderId="0" xfId="2" applyFont="1" applyFill="1" applyBorder="1"/>
    <xf numFmtId="3" fontId="23" fillId="0" borderId="0" xfId="4" applyNumberFormat="1" applyFont="1" applyFill="1" applyBorder="1" applyAlignment="1" applyProtection="1">
      <alignment horizontal="center"/>
      <protection locked="0"/>
    </xf>
    <xf numFmtId="166" fontId="23" fillId="0" borderId="0" xfId="0" applyNumberFormat="1" applyFont="1" applyFill="1" applyBorder="1" applyAlignment="1">
      <alignment horizontal="center"/>
    </xf>
    <xf numFmtId="169" fontId="23" fillId="0" borderId="0" xfId="0" applyNumberFormat="1" applyFont="1" applyFill="1" applyBorder="1" applyAlignment="1">
      <alignment horizontal="center"/>
    </xf>
    <xf numFmtId="170" fontId="23" fillId="0" borderId="0" xfId="0" applyNumberFormat="1" applyFont="1" applyFill="1" applyBorder="1" applyAlignment="1">
      <alignment horizontal="center"/>
    </xf>
    <xf numFmtId="165" fontId="23" fillId="0" borderId="0" xfId="3" applyNumberFormat="1" applyFont="1" applyFill="1" applyBorder="1" applyAlignment="1">
      <alignment horizontal="center"/>
    </xf>
    <xf numFmtId="171" fontId="23" fillId="0" borderId="0" xfId="3" applyNumberFormat="1" applyFont="1" applyFill="1" applyBorder="1" applyAlignment="1">
      <alignment horizontal="center"/>
    </xf>
    <xf numFmtId="165" fontId="49" fillId="0" borderId="0" xfId="3" applyNumberFormat="1" applyFont="1" applyFill="1" applyBorder="1" applyAlignment="1">
      <alignment horizontal="center"/>
    </xf>
    <xf numFmtId="2" fontId="2" fillId="0" borderId="0" xfId="0" applyNumberFormat="1" applyFont="1" applyFill="1" applyBorder="1"/>
    <xf numFmtId="10" fontId="0" fillId="0" borderId="0" xfId="0" applyNumberFormat="1" applyFont="1" applyFill="1" applyBorder="1"/>
    <xf numFmtId="44" fontId="0" fillId="0" borderId="0" xfId="1" applyFont="1" applyFill="1" applyBorder="1"/>
    <xf numFmtId="0" fontId="4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57" fillId="0" borderId="9" xfId="0" applyFont="1" applyBorder="1" applyAlignment="1">
      <alignment horizontal="center"/>
    </xf>
    <xf numFmtId="0" fontId="0" fillId="0" borderId="9" xfId="0" applyFill="1" applyBorder="1" applyAlignment="1">
      <alignment vertical="center"/>
    </xf>
    <xf numFmtId="0" fontId="0" fillId="0" borderId="5" xfId="0" applyBorder="1" applyAlignment="1"/>
    <xf numFmtId="165" fontId="22" fillId="36" borderId="3" xfId="0" applyNumberFormat="1" applyFont="1" applyFill="1" applyBorder="1" applyAlignment="1">
      <alignment horizontal="center"/>
    </xf>
    <xf numFmtId="0" fontId="22" fillId="36" borderId="0" xfId="0" applyFont="1" applyFill="1" applyBorder="1"/>
    <xf numFmtId="0" fontId="0" fillId="0" borderId="9" xfId="0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4" fillId="6" borderId="18" xfId="0" applyFont="1" applyFill="1" applyBorder="1" applyAlignment="1">
      <alignment horizontal="center" vertical="center"/>
    </xf>
    <xf numFmtId="0" fontId="34" fillId="6" borderId="15" xfId="0" applyFont="1" applyFill="1" applyBorder="1" applyAlignment="1">
      <alignment horizontal="center" vertical="center"/>
    </xf>
    <xf numFmtId="0" fontId="34" fillId="6" borderId="19" xfId="0" applyFont="1" applyFill="1" applyBorder="1" applyAlignment="1">
      <alignment horizontal="center" vertical="center"/>
    </xf>
    <xf numFmtId="0" fontId="56" fillId="0" borderId="18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21" fillId="9" borderId="0" xfId="0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horizontal="center" vertical="center"/>
    </xf>
    <xf numFmtId="0" fontId="8" fillId="22" borderId="11" xfId="0" applyFont="1" applyFill="1" applyBorder="1" applyAlignment="1">
      <alignment horizontal="center" vertical="center"/>
    </xf>
    <xf numFmtId="0" fontId="9" fillId="22" borderId="13" xfId="0" applyFont="1" applyFill="1" applyBorder="1" applyAlignment="1">
      <alignment horizontal="center" vertical="center"/>
    </xf>
    <xf numFmtId="0" fontId="9" fillId="22" borderId="2" xfId="0" applyFont="1" applyFill="1" applyBorder="1" applyAlignment="1">
      <alignment horizontal="center" vertical="center"/>
    </xf>
    <xf numFmtId="0" fontId="9" fillId="22" borderId="3" xfId="0" applyFont="1" applyFill="1" applyBorder="1" applyAlignment="1">
      <alignment horizontal="center" vertical="center"/>
    </xf>
    <xf numFmtId="0" fontId="9" fillId="22" borderId="1" xfId="0" applyFont="1" applyFill="1" applyBorder="1" applyAlignment="1">
      <alignment horizontal="center" vertical="center"/>
    </xf>
    <xf numFmtId="0" fontId="8" fillId="22" borderId="3" xfId="0" applyFont="1" applyFill="1" applyBorder="1" applyAlignment="1">
      <alignment horizontal="center" vertical="center"/>
    </xf>
    <xf numFmtId="0" fontId="8" fillId="22" borderId="9" xfId="0" applyFont="1" applyFill="1" applyBorder="1" applyAlignment="1">
      <alignment horizontal="center" vertical="center"/>
    </xf>
    <xf numFmtId="0" fontId="12" fillId="22" borderId="1" xfId="0" applyFont="1" applyFill="1" applyBorder="1" applyAlignment="1">
      <alignment horizontal="center" vertical="center"/>
    </xf>
    <xf numFmtId="0" fontId="12" fillId="22" borderId="2" xfId="0" applyFont="1" applyFill="1" applyBorder="1" applyAlignment="1">
      <alignment horizontal="center" vertical="center"/>
    </xf>
    <xf numFmtId="0" fontId="12" fillId="22" borderId="3" xfId="0" applyFont="1" applyFill="1" applyBorder="1" applyAlignment="1">
      <alignment horizontal="center" vertical="center"/>
    </xf>
    <xf numFmtId="0" fontId="22" fillId="22" borderId="8" xfId="0" applyFont="1" applyFill="1" applyBorder="1" applyAlignment="1">
      <alignment horizontal="center" wrapText="1"/>
    </xf>
    <xf numFmtId="0" fontId="22" fillId="22" borderId="11" xfId="0" applyFont="1" applyFill="1" applyBorder="1" applyAlignment="1">
      <alignment horizontal="center" wrapText="1"/>
    </xf>
    <xf numFmtId="0" fontId="22" fillId="22" borderId="3" xfId="0" applyFont="1" applyFill="1" applyBorder="1" applyAlignment="1">
      <alignment horizontal="center"/>
    </xf>
    <xf numFmtId="0" fontId="22" fillId="22" borderId="9" xfId="0" applyFont="1" applyFill="1" applyBorder="1" applyAlignment="1">
      <alignment horizontal="center"/>
    </xf>
    <xf numFmtId="0" fontId="22" fillId="22" borderId="1" xfId="0" applyFont="1" applyFill="1" applyBorder="1" applyAlignment="1">
      <alignment horizontal="center"/>
    </xf>
    <xf numFmtId="0" fontId="25" fillId="12" borderId="6" xfId="0" applyFont="1" applyFill="1" applyBorder="1" applyAlignment="1">
      <alignment horizontal="center"/>
    </xf>
    <xf numFmtId="0" fontId="25" fillId="12" borderId="7" xfId="0" applyFont="1" applyFill="1" applyBorder="1" applyAlignment="1">
      <alignment horizontal="center"/>
    </xf>
    <xf numFmtId="0" fontId="22" fillId="22" borderId="1" xfId="0" applyFont="1" applyFill="1" applyBorder="1" applyAlignment="1">
      <alignment horizontal="center" wrapText="1"/>
    </xf>
    <xf numFmtId="0" fontId="22" fillId="22" borderId="3" xfId="0" applyFont="1" applyFill="1" applyBorder="1" applyAlignment="1">
      <alignment horizontal="center" wrapText="1"/>
    </xf>
    <xf numFmtId="0" fontId="25" fillId="22" borderId="1" xfId="0" applyFont="1" applyFill="1" applyBorder="1" applyAlignment="1">
      <alignment horizontal="center"/>
    </xf>
    <xf numFmtId="0" fontId="25" fillId="22" borderId="2" xfId="0" applyFont="1" applyFill="1" applyBorder="1" applyAlignment="1">
      <alignment horizontal="center"/>
    </xf>
    <xf numFmtId="0" fontId="25" fillId="22" borderId="3" xfId="0" applyFont="1" applyFill="1" applyBorder="1" applyAlignment="1">
      <alignment horizontal="center"/>
    </xf>
    <xf numFmtId="0" fontId="25" fillId="14" borderId="9" xfId="0" applyFont="1" applyFill="1" applyBorder="1" applyAlignment="1">
      <alignment horizontal="center"/>
    </xf>
    <xf numFmtId="0" fontId="26" fillId="15" borderId="1" xfId="0" applyFont="1" applyFill="1" applyBorder="1" applyAlignment="1">
      <alignment horizontal="center"/>
    </xf>
    <xf numFmtId="0" fontId="26" fillId="15" borderId="2" xfId="0" applyFont="1" applyFill="1" applyBorder="1" applyAlignment="1">
      <alignment horizontal="center"/>
    </xf>
    <xf numFmtId="0" fontId="13" fillId="22" borderId="8" xfId="0" applyFont="1" applyFill="1" applyBorder="1" applyAlignment="1">
      <alignment horizontal="center" vertical="center" wrapText="1"/>
    </xf>
    <xf numFmtId="0" fontId="13" fillId="22" borderId="10" xfId="0" applyFont="1" applyFill="1" applyBorder="1" applyAlignment="1">
      <alignment horizontal="center" vertical="center" wrapText="1"/>
    </xf>
    <xf numFmtId="0" fontId="13" fillId="22" borderId="11" xfId="0" applyFont="1" applyFill="1" applyBorder="1" applyAlignment="1">
      <alignment horizontal="center" vertical="center" wrapText="1"/>
    </xf>
    <xf numFmtId="0" fontId="14" fillId="22" borderId="8" xfId="0" applyFont="1" applyFill="1" applyBorder="1" applyAlignment="1">
      <alignment horizontal="center" vertical="center" wrapText="1"/>
    </xf>
    <xf numFmtId="0" fontId="14" fillId="22" borderId="10" xfId="0" applyFont="1" applyFill="1" applyBorder="1" applyAlignment="1">
      <alignment horizontal="center" vertical="center" wrapText="1"/>
    </xf>
    <xf numFmtId="0" fontId="14" fillId="22" borderId="11" xfId="0" applyFont="1" applyFill="1" applyBorder="1" applyAlignment="1">
      <alignment horizontal="center" vertical="center" wrapText="1"/>
    </xf>
    <xf numFmtId="0" fontId="15" fillId="22" borderId="9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18" fillId="8" borderId="9" xfId="0" applyFont="1" applyFill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2" fontId="36" fillId="7" borderId="26" xfId="0" applyNumberFormat="1" applyFont="1" applyFill="1" applyBorder="1" applyAlignment="1">
      <alignment horizontal="center" vertical="center" textRotation="90"/>
    </xf>
    <xf numFmtId="2" fontId="36" fillId="7" borderId="27" xfId="0" applyNumberFormat="1" applyFont="1" applyFill="1" applyBorder="1" applyAlignment="1">
      <alignment horizontal="center" vertical="center" textRotation="90"/>
    </xf>
    <xf numFmtId="2" fontId="36" fillId="7" borderId="28" xfId="0" applyNumberFormat="1" applyFont="1" applyFill="1" applyBorder="1" applyAlignment="1">
      <alignment horizontal="center" vertical="center" textRotation="90"/>
    </xf>
    <xf numFmtId="166" fontId="36" fillId="7" borderId="0" xfId="0" applyNumberFormat="1" applyFont="1" applyFill="1" applyAlignment="1">
      <alignment horizontal="center" vertical="center" textRotation="90"/>
    </xf>
    <xf numFmtId="0" fontId="8" fillId="22" borderId="13" xfId="0" applyFont="1" applyFill="1" applyBorder="1" applyAlignment="1">
      <alignment horizontal="center" vertical="center"/>
    </xf>
    <xf numFmtId="0" fontId="8" fillId="22" borderId="12" xfId="0" applyFont="1" applyFill="1" applyBorder="1" applyAlignment="1">
      <alignment horizontal="center" vertical="center"/>
    </xf>
    <xf numFmtId="0" fontId="8" fillId="22" borderId="14" xfId="0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wrapText="1"/>
    </xf>
    <xf numFmtId="0" fontId="35" fillId="0" borderId="19" xfId="0" applyFont="1" applyBorder="1" applyAlignment="1">
      <alignment horizontal="center" wrapText="1"/>
    </xf>
    <xf numFmtId="0" fontId="35" fillId="20" borderId="20" xfId="0" applyFont="1" applyFill="1" applyBorder="1" applyAlignment="1">
      <alignment horizontal="center"/>
    </xf>
    <xf numFmtId="0" fontId="35" fillId="20" borderId="21" xfId="0" applyFont="1" applyFill="1" applyBorder="1" applyAlignment="1">
      <alignment horizontal="center"/>
    </xf>
    <xf numFmtId="166" fontId="36" fillId="7" borderId="27" xfId="0" applyNumberFormat="1" applyFont="1" applyFill="1" applyBorder="1" applyAlignment="1">
      <alignment horizontal="center" vertical="center" textRotation="90"/>
    </xf>
    <xf numFmtId="166" fontId="36" fillId="7" borderId="28" xfId="0" applyNumberFormat="1" applyFont="1" applyFill="1" applyBorder="1" applyAlignment="1">
      <alignment horizontal="center" vertical="center" textRotation="90"/>
    </xf>
    <xf numFmtId="0" fontId="43" fillId="29" borderId="0" xfId="0" applyFont="1" applyFill="1" applyAlignment="1">
      <alignment horizontal="center"/>
    </xf>
    <xf numFmtId="0" fontId="43" fillId="29" borderId="0" xfId="0" applyFont="1" applyFill="1" applyBorder="1" applyAlignment="1">
      <alignment horizontal="center"/>
    </xf>
    <xf numFmtId="2" fontId="36" fillId="7" borderId="30" xfId="0" applyNumberFormat="1" applyFont="1" applyFill="1" applyBorder="1" applyAlignment="1">
      <alignment horizontal="center" vertical="center" textRotation="90"/>
    </xf>
    <xf numFmtId="2" fontId="36" fillId="7" borderId="0" xfId="0" applyNumberFormat="1" applyFont="1" applyFill="1" applyBorder="1" applyAlignment="1">
      <alignment horizontal="center" vertical="center" textRotation="90"/>
    </xf>
    <xf numFmtId="0" fontId="49" fillId="23" borderId="18" xfId="0" applyFont="1" applyFill="1" applyBorder="1" applyAlignment="1">
      <alignment horizontal="center"/>
    </xf>
    <xf numFmtId="0" fontId="49" fillId="23" borderId="15" xfId="0" applyFont="1" applyFill="1" applyBorder="1" applyAlignment="1">
      <alignment horizontal="center"/>
    </xf>
    <xf numFmtId="0" fontId="49" fillId="23" borderId="66" xfId="0" applyFont="1" applyFill="1" applyBorder="1" applyAlignment="1">
      <alignment horizontal="center"/>
    </xf>
    <xf numFmtId="0" fontId="49" fillId="10" borderId="67" xfId="3" applyFont="1" applyFill="1" applyBorder="1" applyAlignment="1">
      <alignment horizontal="center"/>
    </xf>
    <xf numFmtId="2" fontId="36" fillId="0" borderId="0" xfId="0" applyNumberFormat="1" applyFont="1" applyFill="1" applyBorder="1" applyAlignment="1">
      <alignment horizontal="center" vertical="center" textRotation="90"/>
    </xf>
    <xf numFmtId="0" fontId="34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2" fontId="37" fillId="0" borderId="20" xfId="0" applyNumberFormat="1" applyFont="1" applyBorder="1" applyAlignment="1">
      <alignment horizontal="center" vertical="center"/>
    </xf>
    <xf numFmtId="2" fontId="37" fillId="0" borderId="21" xfId="0" applyNumberFormat="1" applyFont="1" applyBorder="1" applyAlignment="1">
      <alignment horizontal="center" vertical="center"/>
    </xf>
    <xf numFmtId="2" fontId="37" fillId="0" borderId="22" xfId="0" applyNumberFormat="1" applyFont="1" applyBorder="1" applyAlignment="1">
      <alignment horizontal="center" vertical="center"/>
    </xf>
    <xf numFmtId="2" fontId="37" fillId="0" borderId="23" xfId="0" applyNumberFormat="1" applyFont="1" applyBorder="1" applyAlignment="1">
      <alignment horizontal="center" vertical="center"/>
    </xf>
    <xf numFmtId="2" fontId="37" fillId="0" borderId="24" xfId="0" applyNumberFormat="1" applyFont="1" applyBorder="1" applyAlignment="1">
      <alignment horizontal="center" vertical="center"/>
    </xf>
    <xf numFmtId="2" fontId="37" fillId="0" borderId="25" xfId="0" applyNumberFormat="1" applyFont="1" applyBorder="1" applyAlignment="1">
      <alignment horizontal="center" vertical="center"/>
    </xf>
    <xf numFmtId="2" fontId="36" fillId="7" borderId="23" xfId="0" applyNumberFormat="1" applyFont="1" applyFill="1" applyBorder="1" applyAlignment="1">
      <alignment horizontal="center" vertical="center" textRotation="90"/>
    </xf>
    <xf numFmtId="2" fontId="36" fillId="7" borderId="25" xfId="0" applyNumberFormat="1" applyFont="1" applyFill="1" applyBorder="1" applyAlignment="1">
      <alignment horizontal="center" vertical="center" textRotation="90"/>
    </xf>
    <xf numFmtId="0" fontId="22" fillId="22" borderId="26" xfId="0" applyFont="1" applyFill="1" applyBorder="1" applyAlignment="1">
      <alignment horizontal="center" vertical="center" wrapText="1"/>
    </xf>
    <xf numFmtId="0" fontId="22" fillId="22" borderId="28" xfId="0" applyFont="1" applyFill="1" applyBorder="1" applyAlignment="1">
      <alignment horizontal="center" vertical="center" wrapText="1"/>
    </xf>
    <xf numFmtId="0" fontId="22" fillId="22" borderId="26" xfId="0" applyFont="1" applyFill="1" applyBorder="1" applyAlignment="1">
      <alignment horizontal="center" vertical="center"/>
    </xf>
    <xf numFmtId="0" fontId="22" fillId="22" borderId="28" xfId="0" applyFont="1" applyFill="1" applyBorder="1" applyAlignment="1">
      <alignment horizontal="center" vertical="center"/>
    </xf>
    <xf numFmtId="167" fontId="36" fillId="7" borderId="26" xfId="0" applyNumberFormat="1" applyFont="1" applyFill="1" applyBorder="1" applyAlignment="1">
      <alignment horizontal="center" vertical="center" textRotation="90"/>
    </xf>
    <xf numFmtId="167" fontId="36" fillId="7" borderId="27" xfId="0" applyNumberFormat="1" applyFont="1" applyFill="1" applyBorder="1" applyAlignment="1">
      <alignment horizontal="center" vertical="center" textRotation="90"/>
    </xf>
    <xf numFmtId="167" fontId="36" fillId="7" borderId="28" xfId="0" applyNumberFormat="1" applyFont="1" applyFill="1" applyBorder="1" applyAlignment="1">
      <alignment horizontal="center" vertical="center" textRotation="90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165" fontId="37" fillId="0" borderId="20" xfId="0" applyNumberFormat="1" applyFont="1" applyBorder="1" applyAlignment="1">
      <alignment horizontal="center" vertical="center"/>
    </xf>
    <xf numFmtId="165" fontId="37" fillId="0" borderId="21" xfId="0" applyNumberFormat="1" applyFont="1" applyBorder="1" applyAlignment="1">
      <alignment horizontal="center" vertical="center"/>
    </xf>
    <xf numFmtId="165" fontId="37" fillId="0" borderId="22" xfId="0" applyNumberFormat="1" applyFont="1" applyBorder="1" applyAlignment="1">
      <alignment horizontal="center" vertical="center"/>
    </xf>
    <xf numFmtId="165" fontId="37" fillId="0" borderId="23" xfId="0" applyNumberFormat="1" applyFont="1" applyBorder="1" applyAlignment="1">
      <alignment horizontal="center" vertical="center"/>
    </xf>
    <xf numFmtId="165" fontId="37" fillId="0" borderId="24" xfId="0" applyNumberFormat="1" applyFont="1" applyBorder="1" applyAlignment="1">
      <alignment horizontal="center" vertical="center"/>
    </xf>
    <xf numFmtId="165" fontId="37" fillId="0" borderId="25" xfId="0" applyNumberFormat="1" applyFont="1" applyBorder="1" applyAlignment="1">
      <alignment horizontal="center" vertical="center"/>
    </xf>
    <xf numFmtId="0" fontId="22" fillId="22" borderId="26" xfId="0" applyFont="1" applyFill="1" applyBorder="1" applyAlignment="1">
      <alignment horizontal="center"/>
    </xf>
    <xf numFmtId="0" fontId="22" fillId="22" borderId="28" xfId="0" applyFont="1" applyFill="1" applyBorder="1" applyAlignment="1">
      <alignment horizontal="center"/>
    </xf>
    <xf numFmtId="0" fontId="22" fillId="22" borderId="24" xfId="0" applyFont="1" applyFill="1" applyBorder="1" applyAlignment="1">
      <alignment horizontal="center"/>
    </xf>
    <xf numFmtId="0" fontId="35" fillId="20" borderId="69" xfId="0" applyFont="1" applyFill="1" applyBorder="1" applyAlignment="1">
      <alignment horizontal="center"/>
    </xf>
    <xf numFmtId="0" fontId="35" fillId="20" borderId="70" xfId="0" applyFont="1" applyFill="1" applyBorder="1" applyAlignment="1">
      <alignment horizontal="center"/>
    </xf>
    <xf numFmtId="0" fontId="35" fillId="0" borderId="15" xfId="0" applyFont="1" applyBorder="1" applyAlignment="1">
      <alignment horizontal="center"/>
    </xf>
    <xf numFmtId="166" fontId="36" fillId="7" borderId="23" xfId="0" applyNumberFormat="1" applyFont="1" applyFill="1" applyBorder="1" applyAlignment="1">
      <alignment horizontal="center" vertical="center" textRotation="90"/>
    </xf>
    <xf numFmtId="166" fontId="36" fillId="7" borderId="25" xfId="0" applyNumberFormat="1" applyFont="1" applyFill="1" applyBorder="1" applyAlignment="1">
      <alignment horizontal="center" vertical="center" textRotation="90"/>
    </xf>
    <xf numFmtId="166" fontId="36" fillId="7" borderId="26" xfId="0" applyNumberFormat="1" applyFont="1" applyFill="1" applyBorder="1" applyAlignment="1">
      <alignment horizontal="center" vertical="center" textRotation="90"/>
    </xf>
    <xf numFmtId="0" fontId="0" fillId="0" borderId="5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44" fontId="0" fillId="0" borderId="56" xfId="0" applyNumberFormat="1" applyFont="1" applyBorder="1" applyAlignment="1">
      <alignment horizontal="center" vertical="center"/>
    </xf>
    <xf numFmtId="44" fontId="0" fillId="0" borderId="46" xfId="0" applyNumberFormat="1" applyFont="1" applyBorder="1" applyAlignment="1">
      <alignment horizontal="center" vertical="center"/>
    </xf>
    <xf numFmtId="0" fontId="34" fillId="6" borderId="21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44" fontId="0" fillId="0" borderId="53" xfId="0" applyNumberFormat="1" applyFont="1" applyBorder="1" applyAlignment="1">
      <alignment horizontal="center" vertical="center"/>
    </xf>
    <xf numFmtId="44" fontId="0" fillId="0" borderId="61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4" fontId="0" fillId="0" borderId="11" xfId="0" applyNumberFormat="1" applyFont="1" applyBorder="1" applyAlignment="1">
      <alignment horizontal="center" vertical="center"/>
    </xf>
    <xf numFmtId="0" fontId="36" fillId="30" borderId="1" xfId="0" applyFont="1" applyFill="1" applyBorder="1" applyAlignment="1">
      <alignment horizontal="center" vertical="center" wrapText="1"/>
    </xf>
    <xf numFmtId="0" fontId="36" fillId="30" borderId="37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/>
    </xf>
    <xf numFmtId="0" fontId="0" fillId="33" borderId="9" xfId="0" applyFont="1" applyFill="1" applyBorder="1" applyAlignment="1">
      <alignment horizontal="center" wrapText="1"/>
    </xf>
    <xf numFmtId="0" fontId="2" fillId="33" borderId="9" xfId="0" applyFont="1" applyFill="1" applyBorder="1" applyAlignment="1">
      <alignment horizontal="center" wrapText="1"/>
    </xf>
    <xf numFmtId="0" fontId="14" fillId="24" borderId="9" xfId="0" applyFont="1" applyFill="1" applyBorder="1" applyAlignment="1">
      <alignment horizontal="center" vertical="center"/>
    </xf>
    <xf numFmtId="0" fontId="25" fillId="27" borderId="2" xfId="0" applyFont="1" applyFill="1" applyBorder="1" applyAlignment="1">
      <alignment horizontal="center"/>
    </xf>
    <xf numFmtId="0" fontId="25" fillId="27" borderId="3" xfId="0" applyFont="1" applyFill="1" applyBorder="1" applyAlignment="1">
      <alignment horizontal="center"/>
    </xf>
    <xf numFmtId="0" fontId="25" fillId="28" borderId="1" xfId="0" applyFont="1" applyFill="1" applyBorder="1" applyAlignment="1">
      <alignment horizontal="center"/>
    </xf>
    <xf numFmtId="0" fontId="25" fillId="28" borderId="2" xfId="0" applyFont="1" applyFill="1" applyBorder="1" applyAlignment="1">
      <alignment horizontal="center"/>
    </xf>
    <xf numFmtId="0" fontId="25" fillId="28" borderId="3" xfId="0" applyFont="1" applyFill="1" applyBorder="1" applyAlignment="1">
      <alignment horizontal="center"/>
    </xf>
    <xf numFmtId="0" fontId="49" fillId="22" borderId="9" xfId="0" applyFont="1" applyFill="1" applyBorder="1" applyAlignment="1">
      <alignment horizontal="center" vertical="center" wrapText="1"/>
    </xf>
    <xf numFmtId="0" fontId="36" fillId="30" borderId="9" xfId="0" applyFont="1" applyFill="1" applyBorder="1" applyAlignment="1">
      <alignment horizontal="center" vertical="center" wrapText="1"/>
    </xf>
    <xf numFmtId="0" fontId="15" fillId="22" borderId="9" xfId="0" applyFont="1" applyFill="1" applyBorder="1" applyAlignment="1">
      <alignment horizontal="center" vertical="center" wrapText="1"/>
    </xf>
    <xf numFmtId="0" fontId="34" fillId="23" borderId="18" xfId="0" applyFont="1" applyFill="1" applyBorder="1" applyAlignment="1">
      <alignment horizontal="center" vertical="center"/>
    </xf>
    <xf numFmtId="0" fontId="34" fillId="23" borderId="15" xfId="0" applyFont="1" applyFill="1" applyBorder="1" applyAlignment="1">
      <alignment horizontal="center" vertical="center"/>
    </xf>
    <xf numFmtId="0" fontId="34" fillId="23" borderId="19" xfId="0" applyFont="1" applyFill="1" applyBorder="1" applyAlignment="1">
      <alignment horizontal="center" vertical="center"/>
    </xf>
    <xf numFmtId="14" fontId="41" fillId="25" borderId="0" xfId="0" applyNumberFormat="1" applyFont="1" applyFill="1" applyBorder="1" applyAlignment="1">
      <alignment horizontal="center" vertical="center"/>
    </xf>
    <xf numFmtId="0" fontId="41" fillId="25" borderId="0" xfId="0" applyFont="1" applyFill="1" applyBorder="1" applyAlignment="1">
      <alignment horizontal="center" vertical="center"/>
    </xf>
    <xf numFmtId="0" fontId="41" fillId="25" borderId="12" xfId="0" applyFont="1" applyFill="1" applyBorder="1" applyAlignment="1">
      <alignment horizontal="center" vertical="center"/>
    </xf>
    <xf numFmtId="14" fontId="41" fillId="26" borderId="0" xfId="0" applyNumberFormat="1" applyFont="1" applyFill="1" applyAlignment="1">
      <alignment horizontal="center" vertical="center"/>
    </xf>
    <xf numFmtId="0" fontId="41" fillId="26" borderId="0" xfId="0" applyFont="1" applyFill="1" applyAlignment="1">
      <alignment horizontal="center" vertical="center"/>
    </xf>
    <xf numFmtId="0" fontId="41" fillId="26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4" fillId="0" borderId="47" xfId="0" applyFont="1" applyBorder="1" applyAlignment="1">
      <alignment horizontal="center"/>
    </xf>
    <xf numFmtId="0" fontId="34" fillId="0" borderId="48" xfId="0" applyFont="1" applyBorder="1" applyAlignment="1">
      <alignment horizontal="center"/>
    </xf>
    <xf numFmtId="0" fontId="34" fillId="0" borderId="49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/>
    </xf>
    <xf numFmtId="166" fontId="36" fillId="0" borderId="0" xfId="0" applyNumberFormat="1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4" fontId="37" fillId="0" borderId="1" xfId="0" applyNumberFormat="1" applyFont="1" applyBorder="1" applyAlignment="1">
      <alignment horizontal="center"/>
    </xf>
    <xf numFmtId="4" fontId="37" fillId="0" borderId="37" xfId="0" applyNumberFormat="1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3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4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7">
    <cellStyle name="40% - Énfasis3" xfId="3" builtinId="39"/>
    <cellStyle name="60% - Énfasis3" xfId="4" builtinId="40"/>
    <cellStyle name="Énfasis3" xfId="2" builtinId="37"/>
    <cellStyle name="Hipervínculo" xfId="6" builtinId="8"/>
    <cellStyle name="Moneda" xfId="1" builtin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600075</xdr:colOff>
      <xdr:row>41</xdr:row>
      <xdr:rowOff>57151</xdr:rowOff>
    </xdr:from>
    <xdr:to>
      <xdr:col>14</xdr:col>
      <xdr:colOff>95250</xdr:colOff>
      <xdr:row>41</xdr:row>
      <xdr:rowOff>361951</xdr:rowOff>
    </xdr:to>
    <xdr:sp macro="" textlink="">
      <xdr:nvSpPr>
        <xdr:cNvPr id="2" name="Rectangle 166"/>
        <xdr:cNvSpPr>
          <a:spLocks noChangeArrowheads="1"/>
        </xdr:cNvSpPr>
      </xdr:nvSpPr>
      <xdr:spPr bwMode="auto">
        <a:xfrm>
          <a:off x="13258800" y="11239501"/>
          <a:ext cx="2543175" cy="304800"/>
        </a:xfrm>
        <a:prstGeom prst="rect">
          <a:avLst/>
        </a:prstGeom>
        <a:gradFill rotWithShape="0">
          <a:gsLst>
            <a:gs pos="0">
              <a:srgbClr val="FFFFFF"/>
            </a:gs>
            <a:gs pos="100000">
              <a:srgbClr val="B6DDE8"/>
            </a:gs>
          </a:gsLst>
          <a:lin ang="5400000" scaled="1"/>
        </a:gradFill>
        <a:ln w="12700">
          <a:solidFill>
            <a:srgbClr val="92CDDC"/>
          </a:solidFill>
          <a:miter lim="800000"/>
          <a:headEnd/>
          <a:tailEnd/>
        </a:ln>
        <a:effectLst>
          <a:outerShdw dist="28398" dir="3806097" algn="ctr" rotWithShape="0">
            <a:srgbClr val="205867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CR" sz="1200" b="0" i="0" u="none" strike="noStrike" baseline="0">
              <a:solidFill>
                <a:srgbClr val="000000"/>
              </a:solidFill>
              <a:latin typeface="Arial Narrow"/>
            </a:rPr>
            <a:t>N2O –N fert = [(NFa  *Ap*0.01*(44/28)]</a:t>
          </a:r>
        </a:p>
        <a:p>
          <a:pPr algn="l" rtl="0">
            <a:defRPr sz="1000"/>
          </a:pPr>
          <a:endParaRPr lang="es-C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C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523876</xdr:colOff>
      <xdr:row>42</xdr:row>
      <xdr:rowOff>76200</xdr:rowOff>
    </xdr:from>
    <xdr:to>
      <xdr:col>14</xdr:col>
      <xdr:colOff>390526</xdr:colOff>
      <xdr:row>45</xdr:row>
      <xdr:rowOff>552450</xdr:rowOff>
    </xdr:to>
    <xdr:sp macro="" textlink="">
      <xdr:nvSpPr>
        <xdr:cNvPr id="3" name="Rectangle 168"/>
        <xdr:cNvSpPr>
          <a:spLocks noChangeArrowheads="1"/>
        </xdr:cNvSpPr>
      </xdr:nvSpPr>
      <xdr:spPr bwMode="auto">
        <a:xfrm>
          <a:off x="13182601" y="11630025"/>
          <a:ext cx="2914650" cy="1209675"/>
        </a:xfrm>
        <a:prstGeom prst="rect">
          <a:avLst/>
        </a:prstGeom>
        <a:gradFill rotWithShape="0">
          <a:gsLst>
            <a:gs pos="0">
              <a:srgbClr val="FFFFFF"/>
            </a:gs>
            <a:gs pos="100000">
              <a:srgbClr val="FBD4B4"/>
            </a:gs>
          </a:gsLst>
          <a:lin ang="5400000" scaled="1"/>
        </a:gradFill>
        <a:ln w="12700">
          <a:solidFill>
            <a:srgbClr val="FABF8F"/>
          </a:solidFill>
          <a:miter lim="800000"/>
          <a:headEnd/>
          <a:tailEnd/>
        </a:ln>
        <a:effectLst>
          <a:outerShdw dist="28398" dir="3806097" algn="ctr" rotWithShape="0">
            <a:srgbClr val="974706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CR" sz="900" b="0" i="0" u="none" strike="noStrike" baseline="0">
              <a:solidFill>
                <a:srgbClr val="000000"/>
              </a:solidFill>
              <a:latin typeface="Arial Narrow"/>
            </a:rPr>
            <a:t>Donde: N2O –N fert = emisión de N2O en Kg/año</a:t>
          </a:r>
        </a:p>
        <a:p>
          <a:pPr algn="l" rtl="0">
            <a:defRPr sz="1000"/>
          </a:pPr>
          <a:r>
            <a:rPr lang="es-CR" sz="900" b="0" i="0" u="none" strike="noStrike" baseline="0">
              <a:solidFill>
                <a:srgbClr val="000000"/>
              </a:solidFill>
              <a:latin typeface="Arial Narrow"/>
            </a:rPr>
            <a:t>            NFa = cantidad anual de nitrógeno aplicado al suelo</a:t>
          </a:r>
        </a:p>
        <a:p>
          <a:pPr algn="l" rtl="0">
            <a:defRPr sz="1000"/>
          </a:pPr>
          <a:r>
            <a:rPr lang="es-CR" sz="900" b="0" i="0" u="none" strike="noStrike" baseline="0">
              <a:solidFill>
                <a:srgbClr val="000000"/>
              </a:solidFill>
              <a:latin typeface="Arial Narrow"/>
            </a:rPr>
            <a:t>            Ap = superficie aplicada en hectáreas</a:t>
          </a:r>
        </a:p>
        <a:p>
          <a:pPr algn="l" rtl="0">
            <a:defRPr sz="1000"/>
          </a:pPr>
          <a:r>
            <a:rPr lang="es-CR" sz="900" b="0" i="0" u="none" strike="noStrike" baseline="0">
              <a:solidFill>
                <a:srgbClr val="000000"/>
              </a:solidFill>
              <a:latin typeface="Arial Narrow"/>
            </a:rPr>
            <a:t>            0,01= factor de emisión (1%) (Kg de N2O-N/ha/año).</a:t>
          </a:r>
        </a:p>
        <a:p>
          <a:pPr algn="l" rtl="0">
            <a:defRPr sz="1000"/>
          </a:pPr>
          <a:r>
            <a:rPr lang="es-CR" sz="900" b="0" i="0" u="none" strike="noStrike" baseline="0">
              <a:solidFill>
                <a:srgbClr val="000000"/>
              </a:solidFill>
              <a:latin typeface="Arial Narrow"/>
            </a:rPr>
            <a:t>            (44/28)= conversión de las emisiones de N2O -N en N2O</a:t>
          </a:r>
        </a:p>
        <a:p>
          <a:pPr algn="l" rtl="0">
            <a:defRPr sz="1000"/>
          </a:pPr>
          <a:endParaRPr lang="es-CR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CR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216479</xdr:colOff>
      <xdr:row>98</xdr:row>
      <xdr:rowOff>0</xdr:rowOff>
    </xdr:from>
    <xdr:to>
      <xdr:col>5</xdr:col>
      <xdr:colOff>329047</xdr:colOff>
      <xdr:row>98</xdr:row>
      <xdr:rowOff>1</xdr:rowOff>
    </xdr:to>
    <xdr:sp macro="" textlink="">
      <xdr:nvSpPr>
        <xdr:cNvPr id="4" name="3 Flecha abajo"/>
        <xdr:cNvSpPr/>
      </xdr:nvSpPr>
      <xdr:spPr>
        <a:xfrm>
          <a:off x="8065079" y="22479000"/>
          <a:ext cx="112568" cy="1"/>
        </a:xfrm>
        <a:prstGeom prst="downArrow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216479</xdr:colOff>
      <xdr:row>114</xdr:row>
      <xdr:rowOff>0</xdr:rowOff>
    </xdr:from>
    <xdr:to>
      <xdr:col>5</xdr:col>
      <xdr:colOff>329047</xdr:colOff>
      <xdr:row>114</xdr:row>
      <xdr:rowOff>1</xdr:rowOff>
    </xdr:to>
    <xdr:sp macro="" textlink="">
      <xdr:nvSpPr>
        <xdr:cNvPr id="5" name="4 Flecha abajo"/>
        <xdr:cNvSpPr/>
      </xdr:nvSpPr>
      <xdr:spPr>
        <a:xfrm>
          <a:off x="8065079" y="26660475"/>
          <a:ext cx="112568" cy="1"/>
        </a:xfrm>
        <a:prstGeom prst="downArrow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216479</xdr:colOff>
      <xdr:row>16</xdr:row>
      <xdr:rowOff>0</xdr:rowOff>
    </xdr:from>
    <xdr:to>
      <xdr:col>5</xdr:col>
      <xdr:colOff>329047</xdr:colOff>
      <xdr:row>16</xdr:row>
      <xdr:rowOff>1</xdr:rowOff>
    </xdr:to>
    <xdr:sp macro="" textlink="">
      <xdr:nvSpPr>
        <xdr:cNvPr id="4" name="3 Flecha abajo"/>
        <xdr:cNvSpPr/>
      </xdr:nvSpPr>
      <xdr:spPr>
        <a:xfrm>
          <a:off x="8065079" y="22288500"/>
          <a:ext cx="112568" cy="1"/>
        </a:xfrm>
        <a:prstGeom prst="downArrow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216479</xdr:colOff>
      <xdr:row>32</xdr:row>
      <xdr:rowOff>0</xdr:rowOff>
    </xdr:from>
    <xdr:to>
      <xdr:col>5</xdr:col>
      <xdr:colOff>329047</xdr:colOff>
      <xdr:row>32</xdr:row>
      <xdr:rowOff>1</xdr:rowOff>
    </xdr:to>
    <xdr:sp macro="" textlink="">
      <xdr:nvSpPr>
        <xdr:cNvPr id="5" name="4 Flecha abajo"/>
        <xdr:cNvSpPr/>
      </xdr:nvSpPr>
      <xdr:spPr>
        <a:xfrm>
          <a:off x="8065079" y="26469975"/>
          <a:ext cx="112568" cy="1"/>
        </a:xfrm>
        <a:prstGeom prst="downArrow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600075</xdr:colOff>
      <xdr:row>56</xdr:row>
      <xdr:rowOff>57151</xdr:rowOff>
    </xdr:from>
    <xdr:to>
      <xdr:col>14</xdr:col>
      <xdr:colOff>95250</xdr:colOff>
      <xdr:row>56</xdr:row>
      <xdr:rowOff>361951</xdr:rowOff>
    </xdr:to>
    <xdr:sp macro="" textlink="">
      <xdr:nvSpPr>
        <xdr:cNvPr id="1029" name="Rectangle 166"/>
        <xdr:cNvSpPr>
          <a:spLocks noChangeArrowheads="1"/>
        </xdr:cNvSpPr>
      </xdr:nvSpPr>
      <xdr:spPr bwMode="auto">
        <a:xfrm>
          <a:off x="11325225" y="10210801"/>
          <a:ext cx="2543175" cy="304800"/>
        </a:xfrm>
        <a:prstGeom prst="rect">
          <a:avLst/>
        </a:prstGeom>
        <a:gradFill rotWithShape="0">
          <a:gsLst>
            <a:gs pos="0">
              <a:srgbClr val="FFFFFF"/>
            </a:gs>
            <a:gs pos="100000">
              <a:srgbClr val="B6DDE8"/>
            </a:gs>
          </a:gsLst>
          <a:lin ang="5400000" scaled="1"/>
        </a:gradFill>
        <a:ln w="12700">
          <a:solidFill>
            <a:srgbClr val="92CDDC"/>
          </a:solidFill>
          <a:miter lim="800000"/>
          <a:headEnd/>
          <a:tailEnd/>
        </a:ln>
        <a:effectLst>
          <a:outerShdw dist="28398" dir="3806097" algn="ctr" rotWithShape="0">
            <a:srgbClr val="205867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CR" sz="1200" b="0" i="0" u="none" strike="noStrike" baseline="0">
              <a:solidFill>
                <a:srgbClr val="000000"/>
              </a:solidFill>
              <a:latin typeface="Arial Narrow"/>
            </a:rPr>
            <a:t>N2O –N fert = [(NFa  *Ap*0.01*(44/28)]</a:t>
          </a:r>
        </a:p>
        <a:p>
          <a:pPr algn="l" rtl="0">
            <a:defRPr sz="1000"/>
          </a:pPr>
          <a:endParaRPr lang="es-C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C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523876</xdr:colOff>
      <xdr:row>57</xdr:row>
      <xdr:rowOff>76200</xdr:rowOff>
    </xdr:from>
    <xdr:to>
      <xdr:col>14</xdr:col>
      <xdr:colOff>390526</xdr:colOff>
      <xdr:row>60</xdr:row>
      <xdr:rowOff>552450</xdr:rowOff>
    </xdr:to>
    <xdr:sp macro="" textlink="">
      <xdr:nvSpPr>
        <xdr:cNvPr id="1030" name="Rectangle 168"/>
        <xdr:cNvSpPr>
          <a:spLocks noChangeArrowheads="1"/>
        </xdr:cNvSpPr>
      </xdr:nvSpPr>
      <xdr:spPr bwMode="auto">
        <a:xfrm>
          <a:off x="11249026" y="10601325"/>
          <a:ext cx="2914650" cy="1162050"/>
        </a:xfrm>
        <a:prstGeom prst="rect">
          <a:avLst/>
        </a:prstGeom>
        <a:gradFill rotWithShape="0">
          <a:gsLst>
            <a:gs pos="0">
              <a:srgbClr val="FFFFFF"/>
            </a:gs>
            <a:gs pos="100000">
              <a:srgbClr val="FBD4B4"/>
            </a:gs>
          </a:gsLst>
          <a:lin ang="5400000" scaled="1"/>
        </a:gradFill>
        <a:ln w="12700">
          <a:solidFill>
            <a:srgbClr val="FABF8F"/>
          </a:solidFill>
          <a:miter lim="800000"/>
          <a:headEnd/>
          <a:tailEnd/>
        </a:ln>
        <a:effectLst>
          <a:outerShdw dist="28398" dir="3806097" algn="ctr" rotWithShape="0">
            <a:srgbClr val="974706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CR" sz="900" b="0" i="0" u="none" strike="noStrike" baseline="0">
              <a:solidFill>
                <a:srgbClr val="000000"/>
              </a:solidFill>
              <a:latin typeface="Arial Narrow"/>
            </a:rPr>
            <a:t>Donde: N2O –N fert = emisión de N2O en Kg/año</a:t>
          </a:r>
        </a:p>
        <a:p>
          <a:pPr algn="l" rtl="0">
            <a:defRPr sz="1000"/>
          </a:pPr>
          <a:r>
            <a:rPr lang="es-CR" sz="900" b="0" i="0" u="none" strike="noStrike" baseline="0">
              <a:solidFill>
                <a:srgbClr val="000000"/>
              </a:solidFill>
              <a:latin typeface="Arial Narrow"/>
            </a:rPr>
            <a:t>            NFa = cantidad anual de nitrógeno aplicado al suelo</a:t>
          </a:r>
        </a:p>
        <a:p>
          <a:pPr algn="l" rtl="0">
            <a:defRPr sz="1000"/>
          </a:pPr>
          <a:r>
            <a:rPr lang="es-CR" sz="900" b="0" i="0" u="none" strike="noStrike" baseline="0">
              <a:solidFill>
                <a:srgbClr val="000000"/>
              </a:solidFill>
              <a:latin typeface="Arial Narrow"/>
            </a:rPr>
            <a:t>            Ap = superficie aplicada en hectáreas</a:t>
          </a:r>
        </a:p>
        <a:p>
          <a:pPr algn="l" rtl="0">
            <a:defRPr sz="1000"/>
          </a:pPr>
          <a:r>
            <a:rPr lang="es-CR" sz="900" b="0" i="0" u="none" strike="noStrike" baseline="0">
              <a:solidFill>
                <a:srgbClr val="000000"/>
              </a:solidFill>
              <a:latin typeface="Arial Narrow"/>
            </a:rPr>
            <a:t>            0,01= factor de emisión (1%) (Kg de N2O-N/ha/año).</a:t>
          </a:r>
        </a:p>
        <a:p>
          <a:pPr algn="l" rtl="0">
            <a:defRPr sz="1000"/>
          </a:pPr>
          <a:r>
            <a:rPr lang="es-CR" sz="900" b="0" i="0" u="none" strike="noStrike" baseline="0">
              <a:solidFill>
                <a:srgbClr val="000000"/>
              </a:solidFill>
              <a:latin typeface="Arial Narrow"/>
            </a:rPr>
            <a:t>            (44/28)= conversión de las emisiones de N2O -N en N2O</a:t>
          </a:r>
        </a:p>
        <a:p>
          <a:pPr algn="l" rtl="0">
            <a:defRPr sz="1000"/>
          </a:pPr>
          <a:endParaRPr lang="es-CR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CR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216479</xdr:colOff>
      <xdr:row>102</xdr:row>
      <xdr:rowOff>0</xdr:rowOff>
    </xdr:from>
    <xdr:to>
      <xdr:col>5</xdr:col>
      <xdr:colOff>329047</xdr:colOff>
      <xdr:row>102</xdr:row>
      <xdr:rowOff>1</xdr:rowOff>
    </xdr:to>
    <xdr:sp macro="" textlink="">
      <xdr:nvSpPr>
        <xdr:cNvPr id="4" name="3 Flecha abajo"/>
        <xdr:cNvSpPr/>
      </xdr:nvSpPr>
      <xdr:spPr>
        <a:xfrm>
          <a:off x="3635954" y="1885950"/>
          <a:ext cx="112568" cy="1"/>
        </a:xfrm>
        <a:prstGeom prst="downArrow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216479</xdr:colOff>
      <xdr:row>118</xdr:row>
      <xdr:rowOff>0</xdr:rowOff>
    </xdr:from>
    <xdr:to>
      <xdr:col>5</xdr:col>
      <xdr:colOff>329047</xdr:colOff>
      <xdr:row>118</xdr:row>
      <xdr:rowOff>1</xdr:rowOff>
    </xdr:to>
    <xdr:sp macro="" textlink="">
      <xdr:nvSpPr>
        <xdr:cNvPr id="5" name="4 Flecha abajo"/>
        <xdr:cNvSpPr/>
      </xdr:nvSpPr>
      <xdr:spPr>
        <a:xfrm>
          <a:off x="8065079" y="22479000"/>
          <a:ext cx="112568" cy="1"/>
        </a:xfrm>
        <a:prstGeom prst="downArrow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>
      <selection activeCell="A3" sqref="A3"/>
    </sheetView>
  </sheetViews>
  <sheetFormatPr baseColWidth="10" defaultRowHeight="14.5" x14ac:dyDescent="0.35"/>
  <cols>
    <col min="1" max="1" width="20.54296875" customWidth="1"/>
    <col min="4" max="5" width="20.54296875" customWidth="1"/>
    <col min="7" max="7" width="14.26953125" customWidth="1"/>
    <col min="8" max="8" width="13" customWidth="1"/>
  </cols>
  <sheetData>
    <row r="1" spans="1:8" ht="28.5" x14ac:dyDescent="0.65">
      <c r="A1" s="363" t="s">
        <v>222</v>
      </c>
      <c r="B1" s="364"/>
      <c r="C1" s="364"/>
      <c r="D1" s="364"/>
      <c r="E1" s="364"/>
      <c r="F1" s="364"/>
      <c r="G1" s="364"/>
      <c r="H1" s="365"/>
    </row>
    <row r="2" spans="1:8" ht="15" x14ac:dyDescent="0.25">
      <c r="A2" s="1"/>
      <c r="B2" s="2"/>
      <c r="C2" s="2"/>
      <c r="D2" s="2"/>
      <c r="E2" s="2"/>
      <c r="F2" s="2"/>
      <c r="G2" s="2"/>
      <c r="H2" s="3"/>
    </row>
    <row r="3" spans="1:8" ht="15" x14ac:dyDescent="0.25">
      <c r="A3" s="4" t="s">
        <v>223</v>
      </c>
      <c r="B3" s="362"/>
      <c r="C3" s="362"/>
      <c r="D3" s="362"/>
      <c r="E3" s="362"/>
      <c r="F3" s="362"/>
      <c r="G3" s="362"/>
      <c r="H3" s="362"/>
    </row>
    <row r="4" spans="1:8" x14ac:dyDescent="0.35">
      <c r="A4" s="4" t="s">
        <v>224</v>
      </c>
      <c r="B4" s="362"/>
      <c r="C4" s="362"/>
      <c r="D4" s="362"/>
      <c r="E4" s="362"/>
      <c r="F4" s="362"/>
      <c r="G4" s="362"/>
      <c r="H4" s="362"/>
    </row>
    <row r="5" spans="1:8" ht="15.75" customHeight="1" x14ac:dyDescent="0.35">
      <c r="A5" s="4" t="s">
        <v>225</v>
      </c>
      <c r="B5" s="362"/>
      <c r="C5" s="362"/>
      <c r="D5" s="362"/>
      <c r="E5" s="362"/>
      <c r="F5" s="362"/>
      <c r="G5" s="362"/>
      <c r="H5" s="362"/>
    </row>
    <row r="6" spans="1:8" x14ac:dyDescent="0.35">
      <c r="A6" s="4" t="s">
        <v>226</v>
      </c>
      <c r="B6" s="362"/>
      <c r="C6" s="362"/>
      <c r="D6" s="362"/>
      <c r="E6" s="362"/>
      <c r="F6" s="362"/>
      <c r="G6" s="362"/>
      <c r="H6" s="362"/>
    </row>
    <row r="7" spans="1:8" x14ac:dyDescent="0.35">
      <c r="A7" s="4" t="s">
        <v>227</v>
      </c>
      <c r="B7" s="362"/>
      <c r="C7" s="362"/>
      <c r="D7" s="362"/>
      <c r="E7" s="362"/>
      <c r="F7" s="362"/>
      <c r="G7" s="362"/>
      <c r="H7" s="362"/>
    </row>
    <row r="8" spans="1:8" ht="15" x14ac:dyDescent="0.25">
      <c r="A8" s="11" t="s">
        <v>235</v>
      </c>
      <c r="B8" s="362"/>
      <c r="C8" s="362"/>
      <c r="D8" s="362"/>
      <c r="E8" s="362"/>
      <c r="F8" s="362"/>
      <c r="G8" s="362"/>
      <c r="H8" s="362"/>
    </row>
    <row r="9" spans="1:8" x14ac:dyDescent="0.35">
      <c r="A9" s="11" t="s">
        <v>236</v>
      </c>
      <c r="B9" s="362"/>
      <c r="C9" s="362"/>
      <c r="D9" s="362"/>
      <c r="E9" s="362"/>
      <c r="F9" s="362"/>
      <c r="G9" s="362"/>
      <c r="H9" s="362"/>
    </row>
    <row r="10" spans="1:8" ht="15" x14ac:dyDescent="0.25">
      <c r="A10" s="11" t="s">
        <v>232</v>
      </c>
      <c r="B10" s="362"/>
      <c r="C10" s="362"/>
      <c r="D10" s="362"/>
      <c r="E10" s="362"/>
      <c r="F10" s="362"/>
      <c r="G10" s="362"/>
      <c r="H10" s="362"/>
    </row>
    <row r="11" spans="1:8" ht="15" x14ac:dyDescent="0.25">
      <c r="A11" s="1"/>
      <c r="B11" s="2"/>
      <c r="C11" s="2"/>
      <c r="D11" s="2"/>
      <c r="E11" s="2"/>
      <c r="F11" s="2"/>
      <c r="G11" s="2"/>
      <c r="H11" s="3"/>
    </row>
    <row r="12" spans="1:8" x14ac:dyDescent="0.35">
      <c r="A12" s="205" t="s">
        <v>23</v>
      </c>
      <c r="B12" s="205" t="s">
        <v>0</v>
      </c>
      <c r="C12" s="2"/>
      <c r="D12" s="205" t="s">
        <v>228</v>
      </c>
      <c r="E12" s="357" t="s">
        <v>229</v>
      </c>
      <c r="F12" s="2"/>
      <c r="G12" s="205" t="s">
        <v>233</v>
      </c>
      <c r="H12" s="13" t="s">
        <v>3</v>
      </c>
    </row>
    <row r="13" spans="1:8" ht="15" x14ac:dyDescent="0.25">
      <c r="A13" s="4" t="s">
        <v>58</v>
      </c>
      <c r="B13" s="4"/>
      <c r="C13" s="2"/>
      <c r="D13" s="4" t="s">
        <v>2</v>
      </c>
      <c r="E13" s="4"/>
      <c r="F13" s="2"/>
      <c r="G13" s="4" t="s">
        <v>234</v>
      </c>
      <c r="H13" s="4"/>
    </row>
    <row r="14" spans="1:8" ht="15" x14ac:dyDescent="0.25">
      <c r="A14" s="4" t="s">
        <v>22</v>
      </c>
      <c r="B14" s="4"/>
      <c r="C14" s="2"/>
      <c r="D14" s="4" t="s">
        <v>10</v>
      </c>
      <c r="E14" s="4"/>
      <c r="F14" s="2"/>
      <c r="G14" s="4" t="s">
        <v>237</v>
      </c>
      <c r="H14" s="4"/>
    </row>
    <row r="15" spans="1:8" ht="15" x14ac:dyDescent="0.25">
      <c r="A15" s="4" t="s">
        <v>20</v>
      </c>
      <c r="B15" s="4"/>
      <c r="C15" s="2"/>
      <c r="D15" s="4" t="s">
        <v>180</v>
      </c>
      <c r="E15" s="4"/>
      <c r="F15" s="2"/>
      <c r="G15" s="2"/>
      <c r="H15" s="3"/>
    </row>
    <row r="16" spans="1:8" ht="15" x14ac:dyDescent="0.25">
      <c r="A16" s="4" t="s">
        <v>64</v>
      </c>
      <c r="B16" s="4"/>
      <c r="C16" s="2"/>
      <c r="D16" s="4" t="s">
        <v>97</v>
      </c>
      <c r="E16" s="4"/>
      <c r="F16" s="2"/>
      <c r="G16" s="2"/>
      <c r="H16" s="3"/>
    </row>
    <row r="17" spans="1:8" ht="15" x14ac:dyDescent="0.25">
      <c r="A17" s="4" t="s">
        <v>21</v>
      </c>
      <c r="B17" s="4"/>
      <c r="C17" s="2"/>
      <c r="D17" s="4" t="s">
        <v>98</v>
      </c>
      <c r="E17" s="4"/>
      <c r="F17" s="2"/>
      <c r="G17" s="2"/>
      <c r="H17" s="3"/>
    </row>
    <row r="18" spans="1:8" ht="15" x14ac:dyDescent="0.25">
      <c r="A18" s="4" t="s">
        <v>19</v>
      </c>
      <c r="B18" s="4"/>
      <c r="C18" s="2"/>
      <c r="D18" s="4" t="s">
        <v>230</v>
      </c>
      <c r="E18" s="4"/>
      <c r="F18" s="2"/>
      <c r="G18" s="2"/>
      <c r="H18" s="3"/>
    </row>
    <row r="19" spans="1:8" x14ac:dyDescent="0.35">
      <c r="A19" s="4" t="s">
        <v>196</v>
      </c>
      <c r="B19" s="4"/>
      <c r="C19" s="2"/>
      <c r="D19" s="2"/>
      <c r="E19" s="2"/>
      <c r="F19" s="2"/>
      <c r="G19" s="2"/>
      <c r="H19" s="3"/>
    </row>
    <row r="20" spans="1:8" ht="15" x14ac:dyDescent="0.25">
      <c r="A20" s="4" t="s">
        <v>197</v>
      </c>
      <c r="B20" s="4"/>
      <c r="C20" s="2"/>
      <c r="D20" s="2"/>
      <c r="E20" s="2"/>
      <c r="F20" s="2"/>
      <c r="G20" s="2"/>
      <c r="H20" s="3"/>
    </row>
    <row r="21" spans="1:8" ht="15" x14ac:dyDescent="0.25">
      <c r="A21" s="4" t="s">
        <v>199</v>
      </c>
      <c r="B21" s="4"/>
      <c r="C21" s="2"/>
      <c r="D21" s="2"/>
      <c r="E21" s="2"/>
      <c r="F21" s="2"/>
      <c r="G21" s="2"/>
      <c r="H21" s="3"/>
    </row>
    <row r="22" spans="1:8" ht="15" x14ac:dyDescent="0.25">
      <c r="A22" s="4" t="s">
        <v>198</v>
      </c>
      <c r="B22" s="4"/>
      <c r="C22" s="2"/>
      <c r="D22" s="2"/>
      <c r="E22" s="2"/>
      <c r="F22" s="2"/>
      <c r="G22" s="2"/>
      <c r="H22" s="3"/>
    </row>
    <row r="23" spans="1:8" x14ac:dyDescent="0.35">
      <c r="A23" s="4" t="s">
        <v>200</v>
      </c>
      <c r="B23" s="4"/>
      <c r="C23" s="2"/>
      <c r="D23" s="2"/>
      <c r="E23" s="2"/>
      <c r="F23" s="2"/>
      <c r="G23" s="2"/>
      <c r="H23" s="3"/>
    </row>
    <row r="24" spans="1:8" x14ac:dyDescent="0.35">
      <c r="A24" s="1"/>
      <c r="B24" s="2"/>
      <c r="C24" s="2"/>
      <c r="D24" s="2"/>
      <c r="E24" s="2"/>
      <c r="F24" s="2"/>
      <c r="G24" s="2"/>
      <c r="H24" s="3"/>
    </row>
    <row r="25" spans="1:8" x14ac:dyDescent="0.35">
      <c r="A25" s="11" t="s">
        <v>231</v>
      </c>
      <c r="B25" s="362"/>
      <c r="C25" s="362"/>
      <c r="D25" s="2"/>
      <c r="E25" s="11" t="s">
        <v>245</v>
      </c>
      <c r="F25" s="366"/>
      <c r="G25" s="367"/>
      <c r="H25" s="359"/>
    </row>
    <row r="26" spans="1:8" ht="45" customHeight="1" x14ac:dyDescent="0.35">
      <c r="A26" s="358" t="s">
        <v>238</v>
      </c>
      <c r="B26" s="362"/>
      <c r="C26" s="362"/>
      <c r="D26" s="2"/>
      <c r="E26" s="358" t="s">
        <v>247</v>
      </c>
      <c r="F26" s="366"/>
      <c r="G26" s="367"/>
      <c r="H26" s="359"/>
    </row>
    <row r="27" spans="1:8" x14ac:dyDescent="0.35">
      <c r="A27" s="11" t="s">
        <v>239</v>
      </c>
      <c r="B27" s="4" t="s">
        <v>240</v>
      </c>
      <c r="C27" s="4" t="s">
        <v>241</v>
      </c>
      <c r="D27" s="2"/>
      <c r="E27" s="11" t="s">
        <v>246</v>
      </c>
      <c r="F27" s="4" t="s">
        <v>240</v>
      </c>
      <c r="G27" s="4" t="s">
        <v>241</v>
      </c>
      <c r="H27" s="3"/>
    </row>
    <row r="28" spans="1:8" x14ac:dyDescent="0.35">
      <c r="A28" s="11" t="s">
        <v>242</v>
      </c>
      <c r="B28" s="362"/>
      <c r="C28" s="362"/>
      <c r="D28" s="2"/>
      <c r="E28" s="11" t="s">
        <v>248</v>
      </c>
      <c r="F28" s="4" t="s">
        <v>240</v>
      </c>
      <c r="G28" s="4" t="s">
        <v>241</v>
      </c>
      <c r="H28" s="3"/>
    </row>
    <row r="29" spans="1:8" x14ac:dyDescent="0.35">
      <c r="A29" s="1"/>
      <c r="B29" s="2"/>
      <c r="C29" s="2"/>
      <c r="D29" s="2"/>
      <c r="E29" s="2"/>
      <c r="F29" s="2"/>
      <c r="G29" s="2"/>
      <c r="H29" s="3"/>
    </row>
    <row r="30" spans="1:8" x14ac:dyDescent="0.35">
      <c r="A30" s="11" t="s">
        <v>243</v>
      </c>
      <c r="B30" s="4" t="s">
        <v>240</v>
      </c>
      <c r="C30" s="4" t="s">
        <v>241</v>
      </c>
      <c r="D30" s="2"/>
      <c r="E30" s="11" t="s">
        <v>249</v>
      </c>
      <c r="F30" s="4" t="s">
        <v>240</v>
      </c>
      <c r="G30" s="4" t="s">
        <v>241</v>
      </c>
      <c r="H30" s="3"/>
    </row>
    <row r="31" spans="1:8" x14ac:dyDescent="0.35">
      <c r="A31" s="11" t="s">
        <v>244</v>
      </c>
      <c r="B31" s="362"/>
      <c r="C31" s="362"/>
      <c r="D31" s="2"/>
      <c r="E31" s="11" t="s">
        <v>250</v>
      </c>
      <c r="F31" s="366"/>
      <c r="G31" s="367"/>
      <c r="H31" s="3"/>
    </row>
    <row r="32" spans="1:8" x14ac:dyDescent="0.35">
      <c r="A32" s="5"/>
      <c r="B32" s="6"/>
      <c r="C32" s="6"/>
      <c r="D32" s="6"/>
      <c r="E32" s="6"/>
      <c r="F32" s="6"/>
      <c r="G32" s="6"/>
      <c r="H32" s="7"/>
    </row>
  </sheetData>
  <mergeCells count="16">
    <mergeCell ref="F31:G31"/>
    <mergeCell ref="B31:C31"/>
    <mergeCell ref="B25:C25"/>
    <mergeCell ref="B10:H10"/>
    <mergeCell ref="B26:C26"/>
    <mergeCell ref="B28:C28"/>
    <mergeCell ref="F25:G25"/>
    <mergeCell ref="F26:G26"/>
    <mergeCell ref="B6:H6"/>
    <mergeCell ref="B7:H7"/>
    <mergeCell ref="B8:H8"/>
    <mergeCell ref="B9:H9"/>
    <mergeCell ref="A1:H1"/>
    <mergeCell ref="B3:H3"/>
    <mergeCell ref="B4:H4"/>
    <mergeCell ref="B5:H5"/>
  </mergeCells>
  <pageMargins left="0.25" right="0.25" top="0.75" bottom="0.75" header="0.3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28"/>
  <sheetViews>
    <sheetView topLeftCell="A80" zoomScale="90" zoomScaleNormal="90" workbookViewId="0">
      <selection activeCell="B98" sqref="B98"/>
    </sheetView>
  </sheetViews>
  <sheetFormatPr baseColWidth="10" defaultRowHeight="14.5" x14ac:dyDescent="0.35"/>
  <cols>
    <col min="1" max="1" width="44.1796875" customWidth="1"/>
    <col min="2" max="2" width="21.26953125" customWidth="1"/>
    <col min="3" max="3" width="23" customWidth="1"/>
    <col min="4" max="4" width="21" customWidth="1"/>
    <col min="5" max="5" width="18" customWidth="1"/>
    <col min="6" max="6" width="17.81640625" customWidth="1"/>
    <col min="7" max="7" width="16.7265625" customWidth="1"/>
    <col min="8" max="8" width="13.7265625" customWidth="1"/>
    <col min="31" max="31" width="33.1796875" bestFit="1" customWidth="1"/>
  </cols>
  <sheetData>
    <row r="1" spans="1:31" ht="32.25" thickBot="1" x14ac:dyDescent="0.55000000000000004">
      <c r="A1" s="371" t="s">
        <v>172</v>
      </c>
      <c r="B1" s="372"/>
      <c r="C1" s="372"/>
      <c r="D1" s="372"/>
      <c r="E1" s="373"/>
    </row>
    <row r="2" spans="1:31" ht="15.75" thickBot="1" x14ac:dyDescent="0.3"/>
    <row r="3" spans="1:31" ht="29" thickBot="1" x14ac:dyDescent="0.4">
      <c r="A3" s="368" t="s">
        <v>193</v>
      </c>
      <c r="B3" s="369"/>
      <c r="C3" s="369"/>
      <c r="D3" s="369"/>
      <c r="E3" s="370"/>
    </row>
    <row r="4" spans="1:31" ht="30" x14ac:dyDescent="0.8">
      <c r="A4" s="376" t="s">
        <v>23</v>
      </c>
      <c r="B4" s="376"/>
      <c r="C4" s="376"/>
      <c r="D4" s="376"/>
      <c r="E4" s="377" t="s">
        <v>24</v>
      </c>
      <c r="F4" s="378"/>
      <c r="G4" s="379"/>
      <c r="H4" s="157" t="s">
        <v>25</v>
      </c>
      <c r="I4" s="380" t="s">
        <v>26</v>
      </c>
      <c r="J4" s="379"/>
      <c r="K4" s="381" t="s">
        <v>27</v>
      </c>
      <c r="L4" s="382"/>
      <c r="M4" s="382"/>
      <c r="N4" s="382"/>
      <c r="O4" s="382"/>
      <c r="P4" s="382"/>
      <c r="Q4" s="383" t="s">
        <v>28</v>
      </c>
      <c r="R4" s="384"/>
      <c r="S4" s="385"/>
      <c r="T4" s="401" t="s">
        <v>29</v>
      </c>
      <c r="U4" s="404" t="s">
        <v>30</v>
      </c>
      <c r="V4" s="407" t="s">
        <v>31</v>
      </c>
      <c r="W4" s="407"/>
      <c r="X4" s="407"/>
      <c r="Y4" s="408" t="s">
        <v>32</v>
      </c>
      <c r="Z4" s="409"/>
      <c r="AA4" s="409"/>
      <c r="AB4" s="410"/>
      <c r="AC4" s="411" t="s">
        <v>33</v>
      </c>
      <c r="AD4" s="411"/>
      <c r="AE4" s="374" t="s">
        <v>34</v>
      </c>
    </row>
    <row r="5" spans="1:31" x14ac:dyDescent="0.35">
      <c r="A5" s="386" t="s">
        <v>35</v>
      </c>
      <c r="B5" s="158" t="s">
        <v>36</v>
      </c>
      <c r="C5" s="158" t="s">
        <v>37</v>
      </c>
      <c r="D5" s="159" t="s">
        <v>0</v>
      </c>
      <c r="E5" s="159" t="s">
        <v>38</v>
      </c>
      <c r="F5" s="159" t="s">
        <v>39</v>
      </c>
      <c r="G5" s="159" t="s">
        <v>40</v>
      </c>
      <c r="H5" s="159" t="s">
        <v>41</v>
      </c>
      <c r="I5" s="160" t="s">
        <v>0</v>
      </c>
      <c r="J5" s="159" t="s">
        <v>42</v>
      </c>
      <c r="K5" s="388" t="s">
        <v>43</v>
      </c>
      <c r="L5" s="389"/>
      <c r="M5" s="390" t="s">
        <v>25</v>
      </c>
      <c r="N5" s="388"/>
      <c r="O5" s="390" t="s">
        <v>26</v>
      </c>
      <c r="P5" s="388"/>
      <c r="Q5" s="161" t="s">
        <v>25</v>
      </c>
      <c r="R5" s="161" t="s">
        <v>26</v>
      </c>
      <c r="S5" s="161" t="s">
        <v>44</v>
      </c>
      <c r="T5" s="402"/>
      <c r="U5" s="405"/>
      <c r="V5" s="158" t="s">
        <v>25</v>
      </c>
      <c r="W5" s="158" t="s">
        <v>26</v>
      </c>
      <c r="X5" s="158" t="s">
        <v>45</v>
      </c>
      <c r="Y5" s="15" t="s">
        <v>25</v>
      </c>
      <c r="Z5" s="15" t="s">
        <v>26</v>
      </c>
      <c r="AA5" s="15" t="s">
        <v>6</v>
      </c>
      <c r="AB5" s="391" t="s">
        <v>46</v>
      </c>
      <c r="AC5" s="392"/>
      <c r="AD5" s="16" t="s">
        <v>47</v>
      </c>
      <c r="AE5" s="375"/>
    </row>
    <row r="6" spans="1:31" x14ac:dyDescent="0.35">
      <c r="A6" s="387"/>
      <c r="B6" s="158" t="s">
        <v>48</v>
      </c>
      <c r="C6" s="158" t="s">
        <v>49</v>
      </c>
      <c r="D6" s="159" t="s">
        <v>50</v>
      </c>
      <c r="E6" s="393" t="s">
        <v>51</v>
      </c>
      <c r="F6" s="394"/>
      <c r="G6" s="158" t="s">
        <v>52</v>
      </c>
      <c r="H6" s="159" t="s">
        <v>9</v>
      </c>
      <c r="I6" s="158" t="s">
        <v>49</v>
      </c>
      <c r="J6" s="159" t="s">
        <v>53</v>
      </c>
      <c r="K6" s="159" t="s">
        <v>49</v>
      </c>
      <c r="L6" s="158" t="s">
        <v>54</v>
      </c>
      <c r="M6" s="158" t="s">
        <v>49</v>
      </c>
      <c r="N6" s="158" t="s">
        <v>54</v>
      </c>
      <c r="O6" s="158" t="s">
        <v>49</v>
      </c>
      <c r="P6" s="158" t="s">
        <v>54</v>
      </c>
      <c r="Q6" s="395" t="s">
        <v>9</v>
      </c>
      <c r="R6" s="396"/>
      <c r="S6" s="397"/>
      <c r="T6" s="403"/>
      <c r="U6" s="406"/>
      <c r="V6" s="162"/>
      <c r="W6" s="162"/>
      <c r="X6" s="162"/>
      <c r="Y6" s="398" t="s">
        <v>55</v>
      </c>
      <c r="Z6" s="398"/>
      <c r="AA6" s="398"/>
      <c r="AB6" s="399" t="s">
        <v>49</v>
      </c>
      <c r="AC6" s="400"/>
      <c r="AD6" s="17" t="s">
        <v>56</v>
      </c>
      <c r="AE6" s="18" t="s">
        <v>57</v>
      </c>
    </row>
    <row r="7" spans="1:31" x14ac:dyDescent="0.35">
      <c r="A7" s="162" t="s">
        <v>58</v>
      </c>
      <c r="B7" s="158" t="s">
        <v>59</v>
      </c>
      <c r="C7" s="163">
        <v>425</v>
      </c>
      <c r="D7" s="360">
        <v>22</v>
      </c>
      <c r="E7" s="165">
        <v>42005</v>
      </c>
      <c r="F7" s="165">
        <v>42369</v>
      </c>
      <c r="G7" s="166">
        <f>F7-E7</f>
        <v>364</v>
      </c>
      <c r="H7" s="167">
        <v>54</v>
      </c>
      <c r="I7" s="158">
        <v>1</v>
      </c>
      <c r="J7" s="168">
        <v>3200</v>
      </c>
      <c r="K7" s="167">
        <f>(((5.4*C7)/500)/((100-S7)/100))</f>
        <v>10.12719670810948</v>
      </c>
      <c r="L7" s="163">
        <f>K7/C7*100</f>
        <v>2.3828698136728188</v>
      </c>
      <c r="M7" s="163">
        <f>K7-O7</f>
        <v>9.12719670810948</v>
      </c>
      <c r="N7" s="163">
        <f>M7/C7*100</f>
        <v>2.1475756960257599</v>
      </c>
      <c r="O7" s="158">
        <f>I7</f>
        <v>1</v>
      </c>
      <c r="P7" s="163">
        <f>O7/C7*100</f>
        <v>0.23529411764705879</v>
      </c>
      <c r="Q7" s="169">
        <f>H7</f>
        <v>54</v>
      </c>
      <c r="R7" s="169">
        <f>J7/42.8</f>
        <v>74.766355140186917</v>
      </c>
      <c r="S7" s="169">
        <f>Q7+(0.0305*POWER(I7,2))+(0.8453*I7)-0.1993</f>
        <v>54.676500000000004</v>
      </c>
      <c r="T7" s="170">
        <f>(1.123-(4.092*POWER(10,-3)*S7)+(1.126*POWER(10,-5)*POWER(S7,2))-(25.4/S7))</f>
        <v>0.46837516939546131</v>
      </c>
      <c r="U7" s="171">
        <f>T7*18.45*S7/100</f>
        <v>4.7248817081736982</v>
      </c>
      <c r="V7" s="172">
        <v>6.5</v>
      </c>
      <c r="W7" s="172">
        <v>6</v>
      </c>
      <c r="X7" s="173">
        <f>(V7*(M7/K7))+(W7*(O7/K7))</f>
        <v>6.4506279956427015</v>
      </c>
      <c r="Y7" s="20">
        <f>(184.5*M7)*((V7)/55.65)</f>
        <v>196.68985897934044</v>
      </c>
      <c r="Z7" s="20">
        <f>(18.44*O7)*((W7/55.65))*10</f>
        <v>19.881401617250674</v>
      </c>
      <c r="AA7" s="21">
        <f>SUM(Y7:Z7)</f>
        <v>216.57126059659112</v>
      </c>
      <c r="AB7" s="22">
        <f>(AA7*$G$7*D7)/1000</f>
        <v>1734.3026548575019</v>
      </c>
      <c r="AC7" s="23">
        <f>AB7*21</f>
        <v>36420.355752007541</v>
      </c>
      <c r="AD7" s="417">
        <f>SUM(AC7:AC13)/1000</f>
        <v>75.569382545488978</v>
      </c>
      <c r="AE7" s="24" t="s">
        <v>60</v>
      </c>
    </row>
    <row r="8" spans="1:31" x14ac:dyDescent="0.35">
      <c r="A8" s="162" t="s">
        <v>22</v>
      </c>
      <c r="B8" s="174" t="s">
        <v>61</v>
      </c>
      <c r="C8" s="163">
        <v>315</v>
      </c>
      <c r="D8" s="360">
        <v>12</v>
      </c>
      <c r="E8" s="165">
        <f>E7</f>
        <v>42005</v>
      </c>
      <c r="F8" s="165">
        <v>42369</v>
      </c>
      <c r="G8" s="166">
        <f>F8-E8</f>
        <v>364</v>
      </c>
      <c r="H8" s="167">
        <v>54</v>
      </c>
      <c r="I8" s="158">
        <v>1</v>
      </c>
      <c r="J8" s="168">
        <v>2600</v>
      </c>
      <c r="K8" s="167">
        <f>(POWER(C8,0.75)*((0.2435*1.19)-((U8/100)*POWER(1.19,2))-0.1128)/1.095)</f>
        <v>7.5150577732450747</v>
      </c>
      <c r="L8" s="163">
        <f>K8/C8*100</f>
        <v>2.385732626427008</v>
      </c>
      <c r="M8" s="163">
        <f>K8-O8</f>
        <v>6.5150577732450747</v>
      </c>
      <c r="N8" s="163">
        <f>M8/C8*100</f>
        <v>2.0682723089666903</v>
      </c>
      <c r="O8" s="158">
        <f>I8</f>
        <v>1</v>
      </c>
      <c r="P8" s="163">
        <f>O8/C8*100</f>
        <v>0.31746031746031744</v>
      </c>
      <c r="Q8" s="169">
        <f>H8</f>
        <v>54</v>
      </c>
      <c r="R8" s="169">
        <f>J8/42.8</f>
        <v>60.747663551401871</v>
      </c>
      <c r="S8" s="169">
        <f t="shared" ref="S8:S13" si="0">Q8+(0.0305*POWER(I8,2))+(0.8453*I8)-0.1993</f>
        <v>54.676500000000004</v>
      </c>
      <c r="T8" s="170">
        <f>(1.123-(4.092*POWER(10,-3)*S8)+(1.126*POWER(10,-5)*POWER(S8,2))-(25.4/S8))</f>
        <v>0.46837516939546131</v>
      </c>
      <c r="U8" s="171">
        <f t="shared" ref="U8:U13" si="1">T8*18.45*S8/100</f>
        <v>4.7248817081736982</v>
      </c>
      <c r="V8" s="172">
        <v>6.5</v>
      </c>
      <c r="W8" s="172">
        <v>6</v>
      </c>
      <c r="X8" s="173">
        <f>(V8*(M8/K8))+(W8*(O8/K8))</f>
        <v>6.433466912020279</v>
      </c>
      <c r="Y8" s="20">
        <f>(184.5*M8)*((V8)/55.65)</f>
        <v>140.39861697330019</v>
      </c>
      <c r="Z8" s="20">
        <f>(18.44*O8)*((W8/55.65))*10</f>
        <v>19.881401617250674</v>
      </c>
      <c r="AA8" s="21">
        <f>SUM(Y8:Z8)</f>
        <v>160.28001859055087</v>
      </c>
      <c r="AB8" s="22">
        <f t="shared" ref="AB8:AB13" si="2">(AA8*$G$7*D8)/1000</f>
        <v>700.10312120352614</v>
      </c>
      <c r="AC8" s="25">
        <f>AB8*21</f>
        <v>14702.165545274049</v>
      </c>
      <c r="AD8" s="417"/>
      <c r="AE8" s="24" t="s">
        <v>62</v>
      </c>
    </row>
    <row r="9" spans="1:31" x14ac:dyDescent="0.35">
      <c r="A9" s="162" t="s">
        <v>20</v>
      </c>
      <c r="B9" s="158" t="s">
        <v>63</v>
      </c>
      <c r="C9" s="163">
        <v>130</v>
      </c>
      <c r="D9" s="360">
        <v>9</v>
      </c>
      <c r="E9" s="165">
        <f>E8</f>
        <v>42005</v>
      </c>
      <c r="F9" s="165">
        <v>42369</v>
      </c>
      <c r="G9" s="166">
        <f>F9-E9</f>
        <v>364</v>
      </c>
      <c r="H9" s="167">
        <v>54</v>
      </c>
      <c r="I9" s="158">
        <v>0.5</v>
      </c>
      <c r="J9" s="168">
        <v>3750</v>
      </c>
      <c r="K9" s="167">
        <f>(POWER(C9,0.75)*((0.2435*1.19)-((U9/100)*POWER(1.19,2))-0.1128)/1.095)</f>
        <v>3.9013395487311078</v>
      </c>
      <c r="L9" s="163">
        <f>K9/C9*100</f>
        <v>3.0010304221008521</v>
      </c>
      <c r="M9" s="163">
        <f>K9-O9</f>
        <v>3.4013395487311078</v>
      </c>
      <c r="N9" s="163">
        <f>M9/C9*100</f>
        <v>2.6164150374854676</v>
      </c>
      <c r="O9" s="158">
        <f>I9</f>
        <v>0.5</v>
      </c>
      <c r="P9" s="163">
        <f>O9/C9*100</f>
        <v>0.38461538461538464</v>
      </c>
      <c r="Q9" s="169">
        <f>H9</f>
        <v>54</v>
      </c>
      <c r="R9" s="169">
        <f>J9/42.8</f>
        <v>87.616822429906549</v>
      </c>
      <c r="S9" s="169">
        <f t="shared" si="0"/>
        <v>54.230974999999994</v>
      </c>
      <c r="T9" s="170">
        <f>(1.123-(4.092*POWER(10,-3)*S9)+(1.126*POWER(10,-5)*POWER(S9,2))-(25.4/S9))</f>
        <v>0.46583547790383667</v>
      </c>
      <c r="U9" s="171">
        <f t="shared" si="1"/>
        <v>4.660970392840305</v>
      </c>
      <c r="V9" s="172">
        <v>6.5</v>
      </c>
      <c r="W9" s="172">
        <v>6</v>
      </c>
      <c r="X9" s="173">
        <f>(V9*(M9/K9))+(W9*(O9/K9))</f>
        <v>6.4359194459038278</v>
      </c>
      <c r="Y9" s="20">
        <f>(184.5*M9)*((V9)/55.65)</f>
        <v>73.298408873598945</v>
      </c>
      <c r="Z9" s="20">
        <f>(18.44*O9)*((W9/55.65))*10</f>
        <v>9.940700808625337</v>
      </c>
      <c r="AA9" s="21">
        <f>SUM(Y9:Z9)</f>
        <v>83.239109682224282</v>
      </c>
      <c r="AB9" s="22">
        <f t="shared" si="2"/>
        <v>272.69132331896674</v>
      </c>
      <c r="AC9" s="25">
        <f>AB9*21</f>
        <v>5726.5177896983014</v>
      </c>
      <c r="AD9" s="417"/>
      <c r="AE9" s="24" t="s">
        <v>62</v>
      </c>
    </row>
    <row r="10" spans="1:31" ht="3.75" customHeight="1" x14ac:dyDescent="0.35">
      <c r="A10" s="162"/>
      <c r="B10" s="162"/>
      <c r="C10" s="162"/>
      <c r="D10" s="361"/>
      <c r="E10" s="175"/>
      <c r="F10" s="175"/>
      <c r="G10" s="176"/>
      <c r="H10" s="177"/>
      <c r="I10" s="178"/>
      <c r="J10" s="179"/>
      <c r="K10" s="181"/>
      <c r="L10" s="181"/>
      <c r="M10" s="181"/>
      <c r="N10" s="181"/>
      <c r="O10" s="181"/>
      <c r="P10" s="181"/>
      <c r="Q10" s="180"/>
      <c r="R10" s="180"/>
      <c r="S10" s="180"/>
      <c r="T10" s="180"/>
      <c r="U10" s="180"/>
      <c r="V10" s="180"/>
      <c r="W10" s="180"/>
      <c r="X10" s="180"/>
      <c r="Y10" s="26"/>
      <c r="Z10" s="26"/>
      <c r="AA10" s="26"/>
      <c r="AB10" s="27">
        <f t="shared" si="2"/>
        <v>0</v>
      </c>
      <c r="AC10" s="27"/>
      <c r="AD10" s="417"/>
      <c r="AE10" s="28"/>
    </row>
    <row r="11" spans="1:31" x14ac:dyDescent="0.35">
      <c r="A11" s="162" t="s">
        <v>64</v>
      </c>
      <c r="B11" s="158" t="s">
        <v>65</v>
      </c>
      <c r="C11" s="163">
        <v>540</v>
      </c>
      <c r="D11" s="360">
        <v>2</v>
      </c>
      <c r="E11" s="165">
        <f>E8</f>
        <v>42005</v>
      </c>
      <c r="F11" s="165">
        <v>42369</v>
      </c>
      <c r="G11" s="166">
        <f>F11-E11</f>
        <v>364</v>
      </c>
      <c r="H11" s="167">
        <v>54</v>
      </c>
      <c r="I11" s="158">
        <v>1</v>
      </c>
      <c r="J11" s="168">
        <v>2800</v>
      </c>
      <c r="K11" s="167">
        <f>(POWER(C11,0.75)*((0.2435*1.19)-((U11/100)*POWER(1.19,2))-0.1128)/1.095)</f>
        <v>11.258868018585028</v>
      </c>
      <c r="L11" s="163">
        <f>K11/C11*100</f>
        <v>2.0849755589972272</v>
      </c>
      <c r="M11" s="163">
        <f>K11-O11</f>
        <v>10.258868018585028</v>
      </c>
      <c r="N11" s="163">
        <f>M11/C11*100</f>
        <v>1.8997903738120423</v>
      </c>
      <c r="O11" s="158">
        <f>I11</f>
        <v>1</v>
      </c>
      <c r="P11" s="163">
        <f>O11/C11*100</f>
        <v>0.1851851851851852</v>
      </c>
      <c r="Q11" s="169">
        <f>H11</f>
        <v>54</v>
      </c>
      <c r="R11" s="169">
        <f>J11/42.8</f>
        <v>65.420560747663558</v>
      </c>
      <c r="S11" s="169">
        <f t="shared" si="0"/>
        <v>54.676500000000004</v>
      </c>
      <c r="T11" s="170">
        <f>(1.123-(4.092*POWER(10,-3)*S11)+(1.126*POWER(10,-5)*POWER(S11,2))-(25.4/S11))</f>
        <v>0.46837516939546131</v>
      </c>
      <c r="U11" s="171">
        <f t="shared" si="1"/>
        <v>4.7248817081736982</v>
      </c>
      <c r="V11" s="172">
        <v>6.5</v>
      </c>
      <c r="W11" s="172">
        <v>6</v>
      </c>
      <c r="X11" s="173">
        <f>(V11*(M11/K11))+(W11*(O11/K11))</f>
        <v>6.4555905621084957</v>
      </c>
      <c r="Y11" s="20">
        <f>(184.5*M11)*((V11)/55.65)</f>
        <v>221.07722320373938</v>
      </c>
      <c r="Z11" s="20">
        <f>(18.44*O11)*((W11/55.65))*10</f>
        <v>19.881401617250674</v>
      </c>
      <c r="AA11" s="21">
        <f>SUM(Y11:Z11)</f>
        <v>240.95862482099005</v>
      </c>
      <c r="AB11" s="22">
        <f t="shared" si="2"/>
        <v>175.41787886968075</v>
      </c>
      <c r="AC11" s="25">
        <f>AB11*21</f>
        <v>3683.7754562632958</v>
      </c>
      <c r="AD11" s="417"/>
      <c r="AE11" s="24" t="s">
        <v>66</v>
      </c>
    </row>
    <row r="12" spans="1:31" x14ac:dyDescent="0.35">
      <c r="A12" s="162" t="s">
        <v>21</v>
      </c>
      <c r="B12" s="174" t="s">
        <v>67</v>
      </c>
      <c r="C12" s="163">
        <v>360</v>
      </c>
      <c r="D12" s="360">
        <v>9</v>
      </c>
      <c r="E12" s="165">
        <f>E9</f>
        <v>42005</v>
      </c>
      <c r="F12" s="165">
        <v>42369</v>
      </c>
      <c r="G12" s="166">
        <f>F12-E12</f>
        <v>364</v>
      </c>
      <c r="H12" s="167">
        <v>54</v>
      </c>
      <c r="I12" s="158">
        <v>1</v>
      </c>
      <c r="J12" s="168">
        <v>2400</v>
      </c>
      <c r="K12" s="167">
        <f>(POWER(C12,0.75)*((0.2435*1.19)-((U12/100)*POWER(1.19,2))-0.1128)/1.095)</f>
        <v>8.3066571149734862</v>
      </c>
      <c r="L12" s="163">
        <f>K12/C12*100</f>
        <v>2.3074047541593017</v>
      </c>
      <c r="M12" s="163">
        <f>K12-O12</f>
        <v>7.3066571149734862</v>
      </c>
      <c r="N12" s="163">
        <f>M12/C12*100</f>
        <v>2.029626976381524</v>
      </c>
      <c r="O12" s="158">
        <f>I12</f>
        <v>1</v>
      </c>
      <c r="P12" s="163">
        <f>O12/C12*100</f>
        <v>0.27777777777777779</v>
      </c>
      <c r="Q12" s="169">
        <f>H12</f>
        <v>54</v>
      </c>
      <c r="R12" s="169">
        <f>J12/42.8</f>
        <v>56.074766355140191</v>
      </c>
      <c r="S12" s="169">
        <f t="shared" si="0"/>
        <v>54.676500000000004</v>
      </c>
      <c r="T12" s="170">
        <f>(1.123-(4.092*POWER(10,-3)*S12)+(1.126*POWER(10,-5)*POWER(S12,2))-(25.4/S12))</f>
        <v>0.46837516939546131</v>
      </c>
      <c r="U12" s="171">
        <f t="shared" si="1"/>
        <v>4.7248817081736982</v>
      </c>
      <c r="V12" s="172">
        <v>6.5</v>
      </c>
      <c r="W12" s="172">
        <v>6</v>
      </c>
      <c r="X12" s="173">
        <f>(V12*(M12/K12))+(W12*(O12/K12))</f>
        <v>6.4398073144130743</v>
      </c>
      <c r="Y12" s="20">
        <f>(184.5*M12)*((V12)/55.65)</f>
        <v>157.45747610300006</v>
      </c>
      <c r="Z12" s="20">
        <f>(18.44*O12)*((W12/55.65))*10</f>
        <v>19.881401617250674</v>
      </c>
      <c r="AA12" s="21">
        <f>SUM(Y12:Z12)</f>
        <v>177.33887772025074</v>
      </c>
      <c r="AB12" s="22">
        <f t="shared" si="2"/>
        <v>580.96216341154138</v>
      </c>
      <c r="AC12" s="25">
        <f>AB12*21</f>
        <v>12200.205431642369</v>
      </c>
      <c r="AD12" s="417"/>
      <c r="AE12" s="24" t="s">
        <v>62</v>
      </c>
    </row>
    <row r="13" spans="1:31" x14ac:dyDescent="0.35">
      <c r="A13" s="162" t="s">
        <v>19</v>
      </c>
      <c r="B13" s="158" t="s">
        <v>63</v>
      </c>
      <c r="C13" s="163">
        <v>150</v>
      </c>
      <c r="D13" s="360">
        <v>4</v>
      </c>
      <c r="E13" s="165">
        <f t="shared" ref="E13" si="3">E9</f>
        <v>42005</v>
      </c>
      <c r="F13" s="165">
        <v>42369</v>
      </c>
      <c r="G13" s="166">
        <f>F13-E13</f>
        <v>364</v>
      </c>
      <c r="H13" s="167">
        <v>54</v>
      </c>
      <c r="I13" s="158">
        <v>0.5</v>
      </c>
      <c r="J13" s="168">
        <v>3750</v>
      </c>
      <c r="K13" s="167">
        <f>(POWER(C13,0.75)*((0.2435*1.19)-((U13/100)*POWER(1.19,2))-0.1128)/1.095)</f>
        <v>4.3433485283264535</v>
      </c>
      <c r="L13" s="163">
        <f>K13/C13*100</f>
        <v>2.8955656855509693</v>
      </c>
      <c r="M13" s="163">
        <f>K13-O13</f>
        <v>3.8433485283264535</v>
      </c>
      <c r="N13" s="163">
        <f>M13/C13*100</f>
        <v>2.5622323522176358</v>
      </c>
      <c r="O13" s="158">
        <f>I13</f>
        <v>0.5</v>
      </c>
      <c r="P13" s="163">
        <f>O13/C13*100</f>
        <v>0.33333333333333337</v>
      </c>
      <c r="Q13" s="169">
        <f>H13</f>
        <v>54</v>
      </c>
      <c r="R13" s="169">
        <f>J13/42.8</f>
        <v>87.616822429906549</v>
      </c>
      <c r="S13" s="169">
        <f t="shared" si="0"/>
        <v>54.230974999999994</v>
      </c>
      <c r="T13" s="170">
        <f>(1.123-(4.092*POWER(10,-3)*S13)+(1.126*POWER(10,-5)*POWER(S13,2))-(25.4/S13))</f>
        <v>0.46583547790383667</v>
      </c>
      <c r="U13" s="171">
        <f t="shared" si="1"/>
        <v>4.660970392840305</v>
      </c>
      <c r="V13" s="172">
        <v>6.5</v>
      </c>
      <c r="W13" s="172">
        <v>6</v>
      </c>
      <c r="X13" s="173">
        <f>(V13*(M13/K13))+(W13*(O13/K13))</f>
        <v>6.4424407232416305</v>
      </c>
      <c r="Y13" s="20">
        <f>(184.5*M13)*((V13)/55.65)</f>
        <v>82.823642813935308</v>
      </c>
      <c r="Z13" s="20">
        <f>(18.44*O13)*((W13/55.65))*10</f>
        <v>9.940700808625337</v>
      </c>
      <c r="AA13" s="21">
        <f>SUM(Y13:Z13)</f>
        <v>92.764343622560645</v>
      </c>
      <c r="AB13" s="22">
        <f t="shared" si="2"/>
        <v>135.06488431444831</v>
      </c>
      <c r="AC13" s="25">
        <f>AB13*21</f>
        <v>2836.3625706034145</v>
      </c>
      <c r="AD13" s="417"/>
      <c r="AE13" s="24" t="s">
        <v>62</v>
      </c>
    </row>
    <row r="14" spans="1:31" ht="15" x14ac:dyDescent="0.25">
      <c r="A14" s="19" t="s">
        <v>6</v>
      </c>
      <c r="B14" s="14"/>
      <c r="C14" s="14"/>
      <c r="D14" s="14">
        <f>SUM(D7:D13)</f>
        <v>58</v>
      </c>
      <c r="G14" s="29"/>
      <c r="M14" s="30"/>
      <c r="N14" s="31"/>
      <c r="P14" s="29"/>
      <c r="Q14" s="29"/>
      <c r="R14" s="29"/>
      <c r="S14" s="29"/>
      <c r="T14" s="29"/>
      <c r="U14" s="29"/>
    </row>
    <row r="15" spans="1:31" ht="15" x14ac:dyDescent="0.25">
      <c r="A15" t="s">
        <v>70</v>
      </c>
    </row>
    <row r="16" spans="1:31" x14ac:dyDescent="0.35">
      <c r="A16" t="s">
        <v>71</v>
      </c>
    </row>
    <row r="17" spans="1:9" ht="15" customHeight="1" thickBot="1" x14ac:dyDescent="0.3"/>
    <row r="18" spans="1:9" ht="29.25" thickBot="1" x14ac:dyDescent="0.3">
      <c r="A18" s="368" t="s">
        <v>194</v>
      </c>
      <c r="B18" s="369"/>
      <c r="C18" s="369"/>
      <c r="D18" s="369"/>
      <c r="E18" s="370"/>
    </row>
    <row r="19" spans="1:9" ht="29.25" thickBot="1" x14ac:dyDescent="0.3">
      <c r="A19" s="418" t="s">
        <v>23</v>
      </c>
      <c r="B19" s="419"/>
      <c r="C19" s="419"/>
      <c r="D19" s="420"/>
      <c r="E19" s="182"/>
      <c r="I19" s="219"/>
    </row>
    <row r="20" spans="1:9" ht="15" thickBot="1" x14ac:dyDescent="0.4">
      <c r="A20" s="386" t="s">
        <v>35</v>
      </c>
      <c r="B20" s="158" t="s">
        <v>36</v>
      </c>
      <c r="C20" s="158" t="s">
        <v>37</v>
      </c>
      <c r="D20" s="159" t="s">
        <v>0</v>
      </c>
      <c r="E20" s="183" t="s">
        <v>72</v>
      </c>
      <c r="F20" s="32" t="s">
        <v>74</v>
      </c>
      <c r="G20" s="421" t="s">
        <v>75</v>
      </c>
      <c r="H20" s="422"/>
      <c r="I20" s="290" t="s">
        <v>77</v>
      </c>
    </row>
    <row r="21" spans="1:9" ht="15.75" customHeight="1" thickBot="1" x14ac:dyDescent="0.4">
      <c r="A21" s="387"/>
      <c r="B21" s="158" t="s">
        <v>48</v>
      </c>
      <c r="C21" s="158" t="s">
        <v>49</v>
      </c>
      <c r="D21" s="159" t="s">
        <v>50</v>
      </c>
      <c r="E21" s="183" t="s">
        <v>73</v>
      </c>
      <c r="F21" s="423" t="s">
        <v>68</v>
      </c>
      <c r="G21" s="424"/>
      <c r="H21" s="41" t="s">
        <v>76</v>
      </c>
      <c r="I21" s="425">
        <f>H29/1000</f>
        <v>0.88796399999999998</v>
      </c>
    </row>
    <row r="22" spans="1:9" x14ac:dyDescent="0.35">
      <c r="A22" s="162" t="s">
        <v>58</v>
      </c>
      <c r="B22" s="158" t="s">
        <v>59</v>
      </c>
      <c r="C22" s="163">
        <v>425</v>
      </c>
      <c r="D22" s="164">
        <f>D7</f>
        <v>22</v>
      </c>
      <c r="E22" s="184">
        <v>2.2000000000000001E-3</v>
      </c>
      <c r="F22" s="33">
        <f>E22*C22</f>
        <v>0.93500000000000005</v>
      </c>
      <c r="G22" s="33">
        <f>F22*D22</f>
        <v>20.57</v>
      </c>
      <c r="H22" s="38">
        <f>G22*21</f>
        <v>431.97</v>
      </c>
      <c r="I22" s="425"/>
    </row>
    <row r="23" spans="1:9" x14ac:dyDescent="0.35">
      <c r="A23" s="162" t="s">
        <v>22</v>
      </c>
      <c r="B23" s="174" t="s">
        <v>61</v>
      </c>
      <c r="C23" s="163">
        <v>315</v>
      </c>
      <c r="D23" s="164">
        <f t="shared" ref="D23:D28" si="4">D8</f>
        <v>12</v>
      </c>
      <c r="E23" s="184">
        <f>E22</f>
        <v>2.2000000000000001E-3</v>
      </c>
      <c r="F23" s="34">
        <f t="shared" ref="F23:G28" si="5">E23*C23</f>
        <v>0.69300000000000006</v>
      </c>
      <c r="G23" s="34">
        <f t="shared" si="5"/>
        <v>8.3160000000000007</v>
      </c>
      <c r="H23" s="39">
        <f>G23*21</f>
        <v>174.63600000000002</v>
      </c>
      <c r="I23" s="425"/>
    </row>
    <row r="24" spans="1:9" x14ac:dyDescent="0.35">
      <c r="A24" s="162" t="s">
        <v>20</v>
      </c>
      <c r="B24" s="158" t="s">
        <v>63</v>
      </c>
      <c r="C24" s="163">
        <v>130</v>
      </c>
      <c r="D24" s="164">
        <f t="shared" si="4"/>
        <v>9</v>
      </c>
      <c r="E24" s="184">
        <f t="shared" ref="E24:E28" si="6">E23</f>
        <v>2.2000000000000001E-3</v>
      </c>
      <c r="F24" s="34">
        <f t="shared" si="5"/>
        <v>0.28600000000000003</v>
      </c>
      <c r="G24" s="34">
        <f t="shared" si="5"/>
        <v>2.5740000000000003</v>
      </c>
      <c r="H24" s="39">
        <f>G24*21</f>
        <v>54.054000000000009</v>
      </c>
      <c r="I24" s="425"/>
    </row>
    <row r="25" spans="1:9" ht="3.75" customHeight="1" x14ac:dyDescent="0.35">
      <c r="A25" s="162"/>
      <c r="B25" s="162"/>
      <c r="C25" s="162"/>
      <c r="D25" s="162">
        <f t="shared" si="4"/>
        <v>0</v>
      </c>
      <c r="E25" s="175"/>
      <c r="F25" s="42">
        <f t="shared" si="5"/>
        <v>0</v>
      </c>
      <c r="G25" s="42">
        <f t="shared" si="5"/>
        <v>0</v>
      </c>
      <c r="H25" s="43"/>
      <c r="I25" s="425"/>
    </row>
    <row r="26" spans="1:9" x14ac:dyDescent="0.35">
      <c r="A26" s="162" t="s">
        <v>64</v>
      </c>
      <c r="B26" s="158" t="s">
        <v>65</v>
      </c>
      <c r="C26" s="163">
        <v>540</v>
      </c>
      <c r="D26" s="164">
        <f t="shared" si="4"/>
        <v>2</v>
      </c>
      <c r="E26" s="185">
        <f>E24</f>
        <v>2.2000000000000001E-3</v>
      </c>
      <c r="F26" s="34">
        <f t="shared" si="5"/>
        <v>1.1880000000000002</v>
      </c>
      <c r="G26" s="34">
        <f t="shared" si="5"/>
        <v>2.3760000000000003</v>
      </c>
      <c r="H26" s="39">
        <f>G26*21</f>
        <v>49.896000000000008</v>
      </c>
      <c r="I26" s="425"/>
    </row>
    <row r="27" spans="1:9" x14ac:dyDescent="0.35">
      <c r="A27" s="162" t="s">
        <v>21</v>
      </c>
      <c r="B27" s="174" t="s">
        <v>67</v>
      </c>
      <c r="C27" s="163">
        <v>360</v>
      </c>
      <c r="D27" s="164">
        <f t="shared" si="4"/>
        <v>9</v>
      </c>
      <c r="E27" s="185">
        <f t="shared" si="6"/>
        <v>2.2000000000000001E-3</v>
      </c>
      <c r="F27" s="34">
        <f t="shared" si="5"/>
        <v>0.79200000000000004</v>
      </c>
      <c r="G27" s="34">
        <f t="shared" si="5"/>
        <v>7.1280000000000001</v>
      </c>
      <c r="H27" s="39">
        <f t="shared" ref="H27:H28" si="7">G27*21</f>
        <v>149.68799999999999</v>
      </c>
      <c r="I27" s="425"/>
    </row>
    <row r="28" spans="1:9" ht="15" thickBot="1" x14ac:dyDescent="0.4">
      <c r="A28" s="162" t="s">
        <v>19</v>
      </c>
      <c r="B28" s="158" t="s">
        <v>63</v>
      </c>
      <c r="C28" s="163">
        <v>150</v>
      </c>
      <c r="D28" s="164">
        <f t="shared" si="4"/>
        <v>4</v>
      </c>
      <c r="E28" s="185">
        <f t="shared" si="6"/>
        <v>2.2000000000000001E-3</v>
      </c>
      <c r="F28" s="36">
        <f t="shared" si="5"/>
        <v>0.33</v>
      </c>
      <c r="G28" s="36">
        <f t="shared" si="5"/>
        <v>1.32</v>
      </c>
      <c r="H28" s="40">
        <f t="shared" si="7"/>
        <v>27.720000000000002</v>
      </c>
      <c r="I28" s="425"/>
    </row>
    <row r="29" spans="1:9" ht="15" thickBot="1" x14ac:dyDescent="0.4">
      <c r="A29" s="162" t="s">
        <v>6</v>
      </c>
      <c r="B29" s="158"/>
      <c r="C29" s="158"/>
      <c r="D29" s="158">
        <f>SUM(D22:D28)</f>
        <v>58</v>
      </c>
      <c r="E29" s="182"/>
      <c r="F29" s="44"/>
      <c r="G29" s="45">
        <f>SUM(G22:G28)</f>
        <v>42.284000000000006</v>
      </c>
      <c r="H29" s="46">
        <f>SUM(H22:H28)</f>
        <v>887.96399999999994</v>
      </c>
      <c r="I29" s="426"/>
    </row>
    <row r="30" spans="1:9" ht="15" thickBot="1" x14ac:dyDescent="0.4">
      <c r="A30" s="217"/>
      <c r="B30" s="220"/>
      <c r="C30" s="220"/>
      <c r="D30" s="220"/>
      <c r="E30" s="56"/>
      <c r="F30" s="47"/>
      <c r="G30" s="2"/>
      <c r="H30" s="2"/>
      <c r="I30" s="242"/>
    </row>
    <row r="31" spans="1:9" ht="29.25" thickBot="1" x14ac:dyDescent="0.3">
      <c r="A31" s="368" t="s">
        <v>195</v>
      </c>
      <c r="B31" s="369"/>
      <c r="C31" s="369"/>
      <c r="D31" s="369"/>
      <c r="E31" s="370"/>
    </row>
    <row r="32" spans="1:9" ht="15.75" customHeight="1" thickBot="1" x14ac:dyDescent="0.4">
      <c r="A32" s="447" t="s">
        <v>35</v>
      </c>
      <c r="B32" s="449" t="s">
        <v>0</v>
      </c>
      <c r="C32" s="462" t="s">
        <v>201</v>
      </c>
      <c r="D32" s="462" t="s">
        <v>202</v>
      </c>
      <c r="E32" s="454" t="s">
        <v>203</v>
      </c>
      <c r="F32" s="467"/>
      <c r="G32" s="455"/>
      <c r="H32" s="290" t="s">
        <v>77</v>
      </c>
    </row>
    <row r="33" spans="1:9" ht="15.75" customHeight="1" thickBot="1" x14ac:dyDescent="0.4">
      <c r="A33" s="448"/>
      <c r="B33" s="450"/>
      <c r="C33" s="463"/>
      <c r="D33" s="464"/>
      <c r="E33" s="465" t="s">
        <v>68</v>
      </c>
      <c r="F33" s="466"/>
      <c r="G33" s="273" t="s">
        <v>76</v>
      </c>
      <c r="H33" s="468">
        <f>G39/1000</f>
        <v>9.1139999999999999E-2</v>
      </c>
    </row>
    <row r="34" spans="1:9" x14ac:dyDescent="0.35">
      <c r="A34" s="276" t="s">
        <v>196</v>
      </c>
      <c r="B34" s="272">
        <v>0</v>
      </c>
      <c r="C34" s="271">
        <v>55</v>
      </c>
      <c r="D34" s="270">
        <v>1</v>
      </c>
      <c r="E34" s="274">
        <f>C34*B34</f>
        <v>0</v>
      </c>
      <c r="F34" s="275">
        <f>D34*B34</f>
        <v>0</v>
      </c>
      <c r="G34" s="278">
        <f>F34*21</f>
        <v>0</v>
      </c>
      <c r="H34" s="468"/>
    </row>
    <row r="35" spans="1:9" x14ac:dyDescent="0.35">
      <c r="A35" s="277" t="s">
        <v>197</v>
      </c>
      <c r="B35" s="262">
        <v>0</v>
      </c>
      <c r="C35" s="163">
        <v>5</v>
      </c>
      <c r="D35" s="267">
        <v>0.17</v>
      </c>
      <c r="E35" s="274">
        <f>C35*B35</f>
        <v>0</v>
      </c>
      <c r="F35" s="275">
        <f>D35*B35</f>
        <v>0</v>
      </c>
      <c r="G35" s="279">
        <f t="shared" ref="G35:G38" si="8">F35*21</f>
        <v>0</v>
      </c>
      <c r="H35" s="468"/>
    </row>
    <row r="36" spans="1:9" x14ac:dyDescent="0.35">
      <c r="A36" s="277" t="s">
        <v>199</v>
      </c>
      <c r="B36" s="262">
        <v>2</v>
      </c>
      <c r="C36" s="163">
        <v>5</v>
      </c>
      <c r="D36" s="268">
        <v>0.17</v>
      </c>
      <c r="E36" s="274">
        <f>C36*B36</f>
        <v>10</v>
      </c>
      <c r="F36" s="275">
        <f>D36*B36</f>
        <v>0.34</v>
      </c>
      <c r="G36" s="279">
        <f t="shared" si="8"/>
        <v>7.1400000000000006</v>
      </c>
      <c r="H36" s="468"/>
    </row>
    <row r="37" spans="1:9" x14ac:dyDescent="0.35">
      <c r="A37" s="277" t="s">
        <v>198</v>
      </c>
      <c r="B37" s="262">
        <v>0</v>
      </c>
      <c r="C37" s="163">
        <v>18</v>
      </c>
      <c r="D37" s="268">
        <v>1.64</v>
      </c>
      <c r="E37" s="274">
        <f>C37*B37</f>
        <v>0</v>
      </c>
      <c r="F37" s="275">
        <f>D37*B37</f>
        <v>0</v>
      </c>
      <c r="G37" s="279">
        <f t="shared" si="8"/>
        <v>0</v>
      </c>
      <c r="H37" s="468"/>
    </row>
    <row r="38" spans="1:9" ht="15" thickBot="1" x14ac:dyDescent="0.4">
      <c r="A38" s="280" t="s">
        <v>200</v>
      </c>
      <c r="B38" s="263">
        <v>4</v>
      </c>
      <c r="C38" s="264">
        <v>1</v>
      </c>
      <c r="D38" s="281">
        <v>1</v>
      </c>
      <c r="E38" s="282">
        <f>C38*B38</f>
        <v>4</v>
      </c>
      <c r="F38" s="283">
        <f>D38*B38</f>
        <v>4</v>
      </c>
      <c r="G38" s="284">
        <f t="shared" si="8"/>
        <v>84</v>
      </c>
      <c r="H38" s="468"/>
    </row>
    <row r="39" spans="1:9" ht="15" thickBot="1" x14ac:dyDescent="0.4">
      <c r="A39" s="285" t="s">
        <v>6</v>
      </c>
      <c r="B39" s="286">
        <f>SUM(B34:B38)</f>
        <v>6</v>
      </c>
      <c r="C39" s="287"/>
      <c r="D39" s="287"/>
      <c r="E39" s="288">
        <f>SUM(E34:E38)</f>
        <v>14</v>
      </c>
      <c r="F39" s="288">
        <f t="shared" ref="F39:G39" si="9">SUM(F34:F38)</f>
        <v>4.34</v>
      </c>
      <c r="G39" s="289">
        <f t="shared" si="9"/>
        <v>91.14</v>
      </c>
      <c r="H39" s="469"/>
      <c r="I39" s="53"/>
    </row>
    <row r="40" spans="1:9" x14ac:dyDescent="0.35">
      <c r="A40" s="217"/>
      <c r="B40" s="220"/>
      <c r="C40" s="210"/>
      <c r="D40" s="210"/>
      <c r="E40" s="266"/>
      <c r="F40" s="47"/>
      <c r="G40" s="47"/>
      <c r="H40" s="47"/>
      <c r="I40" s="53"/>
    </row>
    <row r="41" spans="1:9" ht="15.75" thickBot="1" x14ac:dyDescent="0.3"/>
    <row r="42" spans="1:9" ht="29.25" thickBot="1" x14ac:dyDescent="0.3">
      <c r="A42" s="368" t="s">
        <v>11</v>
      </c>
      <c r="B42" s="369"/>
      <c r="C42" s="369"/>
      <c r="D42" s="369"/>
      <c r="E42" s="200"/>
      <c r="F42" s="117"/>
      <c r="G42" s="117"/>
      <c r="H42" s="117"/>
    </row>
    <row r="43" spans="1:9" ht="19.5" thickBot="1" x14ac:dyDescent="0.35">
      <c r="A43" s="34" t="s">
        <v>173</v>
      </c>
      <c r="B43" s="195">
        <f>12000*12</f>
        <v>144000</v>
      </c>
      <c r="C43" s="2"/>
      <c r="D43" s="2"/>
      <c r="E43" s="412" t="s">
        <v>174</v>
      </c>
      <c r="F43" s="413"/>
      <c r="G43" s="52">
        <f>B43/B44</f>
        <v>670.34482758620686</v>
      </c>
      <c r="H43" s="261" t="s">
        <v>47</v>
      </c>
    </row>
    <row r="44" spans="1:9" ht="19" thickBot="1" x14ac:dyDescent="0.5">
      <c r="A44" s="34" t="s">
        <v>78</v>
      </c>
      <c r="B44" s="196">
        <f>AVERAGE(D45:D47)</f>
        <v>214.81481481481481</v>
      </c>
      <c r="C44" s="2"/>
      <c r="D44" s="2" t="s">
        <v>86</v>
      </c>
      <c r="E44" s="412" t="s">
        <v>175</v>
      </c>
      <c r="F44" s="413"/>
      <c r="G44" s="52">
        <f>G43*0.46</f>
        <v>308.3586206896552</v>
      </c>
      <c r="H44" s="38" t="s">
        <v>77</v>
      </c>
    </row>
    <row r="45" spans="1:9" ht="18.75" customHeight="1" thickBot="1" x14ac:dyDescent="0.5">
      <c r="A45" s="143" t="s">
        <v>79</v>
      </c>
      <c r="B45" s="48" t="s">
        <v>80</v>
      </c>
      <c r="C45" s="49" t="s">
        <v>81</v>
      </c>
      <c r="D45" s="50">
        <v>224.44444444444446</v>
      </c>
      <c r="E45" s="412" t="s">
        <v>87</v>
      </c>
      <c r="F45" s="413"/>
      <c r="G45" s="52">
        <v>38</v>
      </c>
      <c r="H45" s="414">
        <f>G46*310/1000</f>
        <v>1.5021469950738917</v>
      </c>
    </row>
    <row r="46" spans="1:9" ht="30.5" thickBot="1" x14ac:dyDescent="0.5">
      <c r="A46" s="143" t="s">
        <v>82</v>
      </c>
      <c r="B46" s="49" t="s">
        <v>83</v>
      </c>
      <c r="C46" s="4" t="s">
        <v>81</v>
      </c>
      <c r="D46" s="50">
        <v>237.77777777777777</v>
      </c>
      <c r="E46" s="412" t="s">
        <v>88</v>
      </c>
      <c r="F46" s="413"/>
      <c r="G46" s="52">
        <f>G44*0.01*(44/28)</f>
        <v>4.845635467980296</v>
      </c>
      <c r="H46" s="415"/>
    </row>
    <row r="47" spans="1:9" ht="33" customHeight="1" thickBot="1" x14ac:dyDescent="0.4">
      <c r="A47" s="197" t="s">
        <v>84</v>
      </c>
      <c r="B47" s="198" t="s">
        <v>85</v>
      </c>
      <c r="C47" s="198" t="s">
        <v>81</v>
      </c>
      <c r="D47" s="199">
        <v>182.22222222222223</v>
      </c>
      <c r="E47" s="36"/>
      <c r="F47" s="51"/>
      <c r="G47" s="37"/>
      <c r="H47" s="416"/>
    </row>
    <row r="48" spans="1:9" ht="15" thickBot="1" x14ac:dyDescent="0.4">
      <c r="H48" s="53"/>
    </row>
    <row r="49" spans="1:12" ht="29" thickBot="1" x14ac:dyDescent="0.4">
      <c r="A49" s="368" t="s">
        <v>10</v>
      </c>
      <c r="B49" s="369"/>
      <c r="C49" s="369"/>
      <c r="D49" s="369"/>
      <c r="E49" s="370"/>
      <c r="H49" s="53"/>
    </row>
    <row r="50" spans="1:12" ht="21" customHeight="1" thickBot="1" x14ac:dyDescent="0.4">
      <c r="A50" s="190" t="s">
        <v>177</v>
      </c>
      <c r="B50" s="191">
        <v>8000</v>
      </c>
      <c r="C50" s="187" t="s">
        <v>178</v>
      </c>
      <c r="D50" s="188"/>
      <c r="E50" s="189" t="s">
        <v>77</v>
      </c>
      <c r="H50" s="53"/>
    </row>
    <row r="51" spans="1:12" ht="21" customHeight="1" x14ac:dyDescent="0.35">
      <c r="A51" s="143" t="s">
        <v>176</v>
      </c>
      <c r="B51" s="192">
        <f>+B50*12</f>
        <v>96000</v>
      </c>
      <c r="C51" s="439">
        <f>+B51/B52</f>
        <v>996.57427592650265</v>
      </c>
      <c r="D51" s="440"/>
      <c r="E51" s="445">
        <f>+C51*B53</f>
        <v>55.509187169106198</v>
      </c>
      <c r="H51" s="53"/>
    </row>
    <row r="52" spans="1:12" ht="21" customHeight="1" x14ac:dyDescent="0.35">
      <c r="A52" s="143" t="s">
        <v>89</v>
      </c>
      <c r="B52" s="192">
        <v>96.33</v>
      </c>
      <c r="C52" s="441"/>
      <c r="D52" s="442"/>
      <c r="E52" s="445"/>
      <c r="H52" s="53"/>
    </row>
    <row r="53" spans="1:12" ht="24.75" customHeight="1" thickBot="1" x14ac:dyDescent="0.4">
      <c r="A53" s="193" t="s">
        <v>90</v>
      </c>
      <c r="B53" s="194">
        <v>5.57E-2</v>
      </c>
      <c r="C53" s="443"/>
      <c r="D53" s="444"/>
      <c r="E53" s="446"/>
      <c r="H53" s="53"/>
    </row>
    <row r="54" spans="1:12" ht="15" thickBot="1" x14ac:dyDescent="0.4">
      <c r="H54" s="53"/>
    </row>
    <row r="55" spans="1:12" ht="29" thickBot="1" x14ac:dyDescent="0.4">
      <c r="A55" s="368" t="s">
        <v>180</v>
      </c>
      <c r="B55" s="369"/>
      <c r="C55" s="369"/>
      <c r="D55" s="369"/>
      <c r="E55" s="370"/>
      <c r="H55" s="53"/>
    </row>
    <row r="56" spans="1:12" ht="21" customHeight="1" thickBot="1" x14ac:dyDescent="0.4">
      <c r="A56" s="190" t="s">
        <v>179</v>
      </c>
      <c r="B56" s="191">
        <v>2400</v>
      </c>
      <c r="C56" s="187" t="s">
        <v>221</v>
      </c>
      <c r="D56" s="188"/>
      <c r="E56" s="189" t="s">
        <v>77</v>
      </c>
      <c r="H56" s="53"/>
    </row>
    <row r="57" spans="1:12" ht="19.5" customHeight="1" x14ac:dyDescent="0.35">
      <c r="A57" s="143" t="s">
        <v>181</v>
      </c>
      <c r="B57" s="192">
        <f>+B56*12</f>
        <v>28800</v>
      </c>
      <c r="C57" s="456">
        <f>+B57/B58</f>
        <v>24</v>
      </c>
      <c r="D57" s="457"/>
      <c r="E57" s="445">
        <f>+C57*B59</f>
        <v>12.2424</v>
      </c>
      <c r="H57" s="53"/>
    </row>
    <row r="58" spans="1:12" ht="21.75" customHeight="1" x14ac:dyDescent="0.35">
      <c r="A58" s="143" t="s">
        <v>182</v>
      </c>
      <c r="B58" s="192">
        <v>1200</v>
      </c>
      <c r="C58" s="458"/>
      <c r="D58" s="459"/>
      <c r="E58" s="445"/>
      <c r="H58" s="53"/>
    </row>
    <row r="59" spans="1:12" ht="36.75" customHeight="1" thickBot="1" x14ac:dyDescent="0.4">
      <c r="A59" s="193" t="s">
        <v>90</v>
      </c>
      <c r="B59" s="194">
        <v>0.5101</v>
      </c>
      <c r="C59" s="460"/>
      <c r="D59" s="461"/>
      <c r="E59" s="446"/>
    </row>
    <row r="60" spans="1:12" ht="15.75" customHeight="1" x14ac:dyDescent="0.25"/>
    <row r="61" spans="1:12" ht="15.75" thickBot="1" x14ac:dyDescent="0.3"/>
    <row r="62" spans="1:12" ht="29.25" thickBot="1" x14ac:dyDescent="0.3">
      <c r="A62" s="368" t="s">
        <v>18</v>
      </c>
      <c r="B62" s="369"/>
      <c r="C62" s="369"/>
      <c r="D62" s="369"/>
      <c r="E62" s="475"/>
      <c r="F62" s="117"/>
      <c r="G62" s="117"/>
      <c r="H62" s="117"/>
      <c r="I62" s="117"/>
      <c r="J62" s="117"/>
      <c r="K62" s="117"/>
      <c r="L62" s="117"/>
    </row>
    <row r="63" spans="1:12" ht="15" thickBot="1" x14ac:dyDescent="0.4">
      <c r="A63" s="471" t="s">
        <v>186</v>
      </c>
      <c r="B63" s="477">
        <v>40000</v>
      </c>
      <c r="C63" s="102"/>
      <c r="D63" s="254"/>
      <c r="E63" s="431" t="s">
        <v>93</v>
      </c>
      <c r="F63" s="432"/>
      <c r="G63" s="433"/>
      <c r="H63" s="434" t="s">
        <v>94</v>
      </c>
      <c r="I63" s="434"/>
      <c r="J63" s="434"/>
      <c r="K63" s="260" t="s">
        <v>8</v>
      </c>
      <c r="L63" s="261" t="s">
        <v>47</v>
      </c>
    </row>
    <row r="64" spans="1:12" ht="17" thickBot="1" x14ac:dyDescent="0.5">
      <c r="A64" s="476"/>
      <c r="B64" s="478"/>
      <c r="C64" s="252" t="s">
        <v>95</v>
      </c>
      <c r="D64" s="253" t="s">
        <v>96</v>
      </c>
      <c r="E64" s="255" t="s">
        <v>139</v>
      </c>
      <c r="F64" s="255" t="s">
        <v>140</v>
      </c>
      <c r="G64" s="255" t="s">
        <v>141</v>
      </c>
      <c r="H64" s="256" t="s">
        <v>139</v>
      </c>
      <c r="I64" s="257" t="s">
        <v>140</v>
      </c>
      <c r="J64" s="256" t="s">
        <v>141</v>
      </c>
      <c r="K64" s="258" t="s">
        <v>142</v>
      </c>
      <c r="L64" s="259" t="s">
        <v>77</v>
      </c>
    </row>
    <row r="65" spans="1:34" ht="15" thickBot="1" x14ac:dyDescent="0.4">
      <c r="A65" s="243" t="s">
        <v>184</v>
      </c>
      <c r="B65" s="244">
        <f>+B63*12</f>
        <v>480000</v>
      </c>
      <c r="C65" s="245" t="s">
        <v>97</v>
      </c>
      <c r="D65" s="246">
        <f>+B67</f>
        <v>1071.4285714285713</v>
      </c>
      <c r="E65" s="247">
        <v>2.613</v>
      </c>
      <c r="F65" s="247">
        <v>0.38200000000000001</v>
      </c>
      <c r="G65" s="248">
        <v>2.4420000000000001E-2</v>
      </c>
      <c r="H65" s="249">
        <f>D65*E65</f>
        <v>2799.6428571428569</v>
      </c>
      <c r="I65" s="250">
        <f>D65*F65</f>
        <v>409.28571428571428</v>
      </c>
      <c r="J65" s="250">
        <f>D65*G65</f>
        <v>26.164285714285711</v>
      </c>
      <c r="K65" s="251">
        <f>(H65+(I65*21)+(310*J65))/1000</f>
        <v>19.505571428571429</v>
      </c>
      <c r="L65" s="415">
        <f>SUM(K65:K66)</f>
        <v>19.505571428571429</v>
      </c>
    </row>
    <row r="66" spans="1:34" ht="15" thickBot="1" x14ac:dyDescent="0.4">
      <c r="A66" s="204" t="s">
        <v>185</v>
      </c>
      <c r="B66" s="101">
        <v>448</v>
      </c>
      <c r="C66" s="103" t="s">
        <v>98</v>
      </c>
      <c r="D66" s="104">
        <f>+B72</f>
        <v>0</v>
      </c>
      <c r="E66" s="105">
        <v>2.2309999999999999</v>
      </c>
      <c r="F66" s="105">
        <v>0.34599999999999997</v>
      </c>
      <c r="G66" s="186">
        <v>2.2110000000000001E-2</v>
      </c>
      <c r="H66" s="106">
        <f>D66*E66</f>
        <v>0</v>
      </c>
      <c r="I66" s="107">
        <f>D66*F66</f>
        <v>0</v>
      </c>
      <c r="J66" s="107">
        <f>D66*G66</f>
        <v>0</v>
      </c>
      <c r="K66" s="108">
        <f>(H66+(I66*21)+(310*J66))/1000</f>
        <v>0</v>
      </c>
      <c r="L66" s="415"/>
    </row>
    <row r="67" spans="1:34" ht="15" thickBot="1" x14ac:dyDescent="0.4">
      <c r="A67" s="205" t="s">
        <v>187</v>
      </c>
      <c r="B67" s="57">
        <f>+B65/B66</f>
        <v>1071.4285714285713</v>
      </c>
      <c r="C67" s="103" t="s">
        <v>192</v>
      </c>
      <c r="D67" s="104">
        <f>+B77</f>
        <v>1411.7647058823529</v>
      </c>
      <c r="E67" s="105">
        <v>1.611</v>
      </c>
      <c r="F67" s="105">
        <v>0.13900000000000001</v>
      </c>
      <c r="G67" s="186">
        <v>2.745E-3</v>
      </c>
      <c r="H67" s="106">
        <f>D67*E67</f>
        <v>2274.3529411764707</v>
      </c>
      <c r="I67" s="107">
        <f>D67*F67</f>
        <v>196.23529411764707</v>
      </c>
      <c r="J67" s="107">
        <f>D67*G67</f>
        <v>3.875294117647059</v>
      </c>
      <c r="K67" s="108">
        <f>(H67+(I67*21)+(310*J67))/1000</f>
        <v>7.5966352941176485</v>
      </c>
      <c r="L67" s="415"/>
    </row>
    <row r="68" spans="1:34" ht="28.5" customHeight="1" thickBot="1" x14ac:dyDescent="0.4">
      <c r="A68" s="479" t="s">
        <v>183</v>
      </c>
      <c r="B68" s="477"/>
      <c r="C68" s="109"/>
      <c r="D68" s="109"/>
      <c r="E68" s="109"/>
      <c r="F68" s="109"/>
      <c r="G68" s="109"/>
      <c r="H68" s="110"/>
      <c r="I68" s="55"/>
      <c r="J68" s="97"/>
      <c r="K68" s="97"/>
      <c r="L68" s="416"/>
    </row>
    <row r="69" spans="1:34" x14ac:dyDescent="0.35">
      <c r="A69" s="480"/>
      <c r="B69" s="481"/>
      <c r="C69" s="202"/>
      <c r="D69" s="201"/>
      <c r="E69" s="201"/>
      <c r="F69" s="201"/>
      <c r="G69" s="201"/>
      <c r="H69" s="201"/>
      <c r="I69" s="201"/>
      <c r="J69" s="97"/>
      <c r="K69" s="97"/>
      <c r="L69" s="97"/>
    </row>
    <row r="70" spans="1:34" ht="15" x14ac:dyDescent="0.25">
      <c r="A70" s="100" t="s">
        <v>184</v>
      </c>
      <c r="B70" s="101">
        <f>+B68*12</f>
        <v>0</v>
      </c>
      <c r="C70" s="203"/>
      <c r="D70" s="201"/>
      <c r="E70" s="201"/>
      <c r="F70" s="201"/>
      <c r="G70" s="201"/>
      <c r="H70" s="201"/>
      <c r="I70" s="201"/>
      <c r="J70" s="97"/>
      <c r="K70" s="97"/>
      <c r="L70" s="97"/>
    </row>
    <row r="71" spans="1:34" x14ac:dyDescent="0.35">
      <c r="A71" s="204" t="s">
        <v>185</v>
      </c>
      <c r="B71" s="101">
        <v>575</v>
      </c>
      <c r="C71" s="109"/>
      <c r="D71" s="109"/>
      <c r="E71" s="109"/>
      <c r="F71" s="109"/>
      <c r="G71" s="109"/>
      <c r="H71" s="110"/>
      <c r="I71" s="55"/>
      <c r="J71" s="97"/>
      <c r="K71" s="97"/>
      <c r="L71" s="97"/>
    </row>
    <row r="72" spans="1:34" ht="15" thickBot="1" x14ac:dyDescent="0.4">
      <c r="A72" s="205" t="s">
        <v>188</v>
      </c>
      <c r="B72" s="57">
        <f>+B70/B71</f>
        <v>0</v>
      </c>
      <c r="C72" s="97"/>
      <c r="D72" s="97"/>
      <c r="E72" s="97"/>
      <c r="F72" s="97"/>
      <c r="G72" s="109"/>
      <c r="H72" s="110"/>
      <c r="I72" s="55"/>
      <c r="J72" s="97"/>
      <c r="K72" s="97"/>
      <c r="L72" s="97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</row>
    <row r="73" spans="1:34" x14ac:dyDescent="0.35">
      <c r="A73" s="471" t="s">
        <v>191</v>
      </c>
      <c r="B73" s="473">
        <v>20000</v>
      </c>
      <c r="C73" s="97"/>
      <c r="D73" s="97"/>
      <c r="E73" s="97"/>
      <c r="F73" s="97"/>
      <c r="G73" s="97"/>
      <c r="H73" s="97"/>
      <c r="I73" s="97"/>
      <c r="J73" s="97"/>
      <c r="K73" s="97"/>
      <c r="L73" s="97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</row>
    <row r="74" spans="1:34" x14ac:dyDescent="0.35">
      <c r="A74" s="472"/>
      <c r="B74" s="474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</row>
    <row r="75" spans="1:34" ht="15" x14ac:dyDescent="0.25">
      <c r="A75" s="237" t="s">
        <v>189</v>
      </c>
      <c r="B75" s="238">
        <f>+B73*12</f>
        <v>240000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</row>
    <row r="76" spans="1:34" ht="31.5" x14ac:dyDescent="0.5">
      <c r="A76" s="239" t="s">
        <v>185</v>
      </c>
      <c r="B76" s="238">
        <v>170</v>
      </c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56"/>
      <c r="AG76" s="56"/>
      <c r="AH76" s="56"/>
    </row>
    <row r="77" spans="1:34" ht="15.75" thickBot="1" x14ac:dyDescent="0.3">
      <c r="A77" s="240" t="s">
        <v>190</v>
      </c>
      <c r="B77" s="241">
        <f>+B75/B76</f>
        <v>1411.7647058823529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1:34" ht="15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</row>
    <row r="79" spans="1:34" ht="14.25" customHeight="1" thickBot="1" x14ac:dyDescent="0.3">
      <c r="A79" s="117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427" t="s">
        <v>116</v>
      </c>
      <c r="O79" s="427"/>
      <c r="P79" s="427"/>
      <c r="Q79" s="16" t="s">
        <v>47</v>
      </c>
    </row>
    <row r="80" spans="1:34" ht="33" customHeight="1" thickBot="1" x14ac:dyDescent="0.4">
      <c r="A80" s="368" t="s">
        <v>213</v>
      </c>
      <c r="B80" s="369"/>
      <c r="C80" s="369"/>
      <c r="D80" s="369"/>
      <c r="E80" s="370"/>
      <c r="I80" s="236"/>
      <c r="J80" s="236"/>
      <c r="K80" s="236"/>
      <c r="L80" s="236"/>
      <c r="M80" s="236"/>
      <c r="N80" s="428" t="s">
        <v>117</v>
      </c>
      <c r="O80" s="428"/>
      <c r="P80" s="428"/>
      <c r="Q80" s="90" t="s">
        <v>77</v>
      </c>
    </row>
    <row r="81" spans="1:17" ht="15.75" customHeight="1" thickBot="1" x14ac:dyDescent="0.4">
      <c r="A81" s="447" t="s">
        <v>206</v>
      </c>
      <c r="B81" s="449" t="s">
        <v>214</v>
      </c>
      <c r="C81" s="449" t="s">
        <v>211</v>
      </c>
      <c r="D81" s="449" t="s">
        <v>212</v>
      </c>
      <c r="E81" s="454" t="s">
        <v>203</v>
      </c>
      <c r="F81" s="467"/>
      <c r="G81" s="455"/>
      <c r="H81" s="290" t="s">
        <v>77</v>
      </c>
      <c r="I81" s="236"/>
      <c r="J81" s="236"/>
      <c r="K81" s="236"/>
      <c r="L81" s="236"/>
      <c r="M81" s="236"/>
      <c r="N81" s="208" t="s">
        <v>40</v>
      </c>
      <c r="O81" s="70" t="s">
        <v>52</v>
      </c>
      <c r="P81" s="71">
        <v>364</v>
      </c>
      <c r="Q81" s="429">
        <f>P85</f>
        <v>0</v>
      </c>
    </row>
    <row r="82" spans="1:17" ht="20.25" customHeight="1" thickBot="1" x14ac:dyDescent="0.4">
      <c r="A82" s="448"/>
      <c r="B82" s="450"/>
      <c r="C82" s="450"/>
      <c r="D82" s="450"/>
      <c r="E82" s="300" t="s">
        <v>68</v>
      </c>
      <c r="F82" s="300" t="s">
        <v>215</v>
      </c>
      <c r="G82" s="302" t="s">
        <v>217</v>
      </c>
      <c r="H82" s="470">
        <f>G85/1000</f>
        <v>0</v>
      </c>
      <c r="I82" s="210"/>
      <c r="J82" s="210"/>
      <c r="K82" s="212"/>
      <c r="L82" s="212"/>
      <c r="M82" s="212"/>
      <c r="N82" s="208" t="s">
        <v>118</v>
      </c>
      <c r="O82" s="70" t="s">
        <v>119</v>
      </c>
      <c r="P82" s="72">
        <f>G97-M85</f>
        <v>0</v>
      </c>
      <c r="Q82" s="430"/>
    </row>
    <row r="83" spans="1:17" ht="26.25" customHeight="1" x14ac:dyDescent="0.35">
      <c r="A83" s="276" t="s">
        <v>207</v>
      </c>
      <c r="B83" s="272">
        <v>0</v>
      </c>
      <c r="C83" s="271">
        <v>4</v>
      </c>
      <c r="D83" s="296">
        <v>0.3</v>
      </c>
      <c r="E83" s="299">
        <f>C83*B83</f>
        <v>0</v>
      </c>
      <c r="F83" s="298">
        <f>D83*B83</f>
        <v>0</v>
      </c>
      <c r="G83" s="303">
        <f>(E83*21)+(F83*310)</f>
        <v>0</v>
      </c>
      <c r="H83" s="425"/>
      <c r="I83" s="292"/>
      <c r="J83" s="292"/>
      <c r="K83" s="212"/>
      <c r="L83" s="212"/>
      <c r="M83" s="212"/>
      <c r="N83" s="208" t="s">
        <v>120</v>
      </c>
      <c r="O83" s="70" t="s">
        <v>119</v>
      </c>
      <c r="P83" s="72">
        <f>(P82/P81)*365</f>
        <v>0</v>
      </c>
      <c r="Q83" s="430"/>
    </row>
    <row r="84" spans="1:17" ht="24" customHeight="1" x14ac:dyDescent="0.4">
      <c r="A84" s="277" t="s">
        <v>208</v>
      </c>
      <c r="B84" s="262">
        <v>0</v>
      </c>
      <c r="C84" s="163">
        <v>2</v>
      </c>
      <c r="D84" s="297">
        <v>0</v>
      </c>
      <c r="E84" s="274">
        <f>C84*B84</f>
        <v>0</v>
      </c>
      <c r="F84" s="275">
        <f>D84*B84</f>
        <v>0</v>
      </c>
      <c r="G84" s="304">
        <f t="shared" ref="G84" si="10">F84*21</f>
        <v>0</v>
      </c>
      <c r="H84" s="425"/>
      <c r="I84" s="214"/>
      <c r="J84" s="214"/>
      <c r="K84" s="215"/>
      <c r="L84" s="212"/>
      <c r="M84" s="216"/>
      <c r="N84" s="208" t="s">
        <v>121</v>
      </c>
      <c r="O84" s="70" t="s">
        <v>138</v>
      </c>
      <c r="P84" s="71">
        <v>3.67</v>
      </c>
      <c r="Q84" s="430"/>
    </row>
    <row r="85" spans="1:17" ht="28.5" customHeight="1" thickBot="1" x14ac:dyDescent="0.45">
      <c r="A85" s="36" t="s">
        <v>216</v>
      </c>
      <c r="B85" s="51"/>
      <c r="C85" s="51"/>
      <c r="D85" s="51"/>
      <c r="E85" s="51"/>
      <c r="F85" s="51"/>
      <c r="G85" s="301">
        <f>SUM(G83:G84)</f>
        <v>0</v>
      </c>
      <c r="H85" s="426"/>
      <c r="I85" s="214"/>
      <c r="J85" s="214"/>
      <c r="K85" s="215"/>
      <c r="L85" s="212"/>
      <c r="M85" s="216"/>
      <c r="N85" s="208" t="s">
        <v>120</v>
      </c>
      <c r="O85" s="70" t="s">
        <v>122</v>
      </c>
      <c r="P85" s="72">
        <f>P83*P84</f>
        <v>0</v>
      </c>
      <c r="Q85" s="430"/>
    </row>
    <row r="86" spans="1:17" ht="15" x14ac:dyDescent="0.25">
      <c r="I86" s="109"/>
      <c r="J86" s="109"/>
      <c r="K86" s="109"/>
      <c r="L86" s="109"/>
      <c r="M86" s="109"/>
      <c r="N86" s="97"/>
      <c r="O86" s="97"/>
      <c r="P86" s="97"/>
      <c r="Q86" s="97"/>
    </row>
    <row r="87" spans="1:17" ht="15.75" thickBot="1" x14ac:dyDescent="0.3">
      <c r="I87" s="109"/>
      <c r="J87" s="109"/>
      <c r="K87" s="109"/>
      <c r="L87" s="109"/>
      <c r="M87" s="109"/>
      <c r="N87" s="97"/>
      <c r="O87" s="97"/>
      <c r="P87" s="97"/>
      <c r="Q87" s="97"/>
    </row>
    <row r="88" spans="1:17" ht="29.25" thickBot="1" x14ac:dyDescent="0.3">
      <c r="A88" s="368" t="s">
        <v>218</v>
      </c>
      <c r="B88" s="369"/>
      <c r="C88" s="369"/>
      <c r="D88" s="369"/>
      <c r="E88" s="370"/>
      <c r="I88" s="109"/>
      <c r="J88" s="109"/>
      <c r="K88" s="109"/>
      <c r="L88" s="109"/>
      <c r="M88" s="109"/>
      <c r="N88" s="97"/>
      <c r="O88" s="97"/>
      <c r="P88" s="97"/>
      <c r="Q88" s="97"/>
    </row>
    <row r="89" spans="1:17" ht="15" thickBot="1" x14ac:dyDescent="0.4">
      <c r="A89" s="447" t="s">
        <v>206</v>
      </c>
      <c r="B89" s="449" t="s">
        <v>219</v>
      </c>
      <c r="C89" s="449" t="s">
        <v>220</v>
      </c>
      <c r="D89" s="454" t="s">
        <v>203</v>
      </c>
      <c r="E89" s="455"/>
      <c r="F89" s="290" t="s">
        <v>77</v>
      </c>
      <c r="I89" s="109"/>
      <c r="J89" s="109"/>
      <c r="K89" s="109"/>
      <c r="L89" s="109"/>
      <c r="M89" s="109"/>
      <c r="N89" s="97"/>
      <c r="O89" s="97"/>
      <c r="P89" s="97"/>
      <c r="Q89" s="97"/>
    </row>
    <row r="90" spans="1:17" ht="15" thickBot="1" x14ac:dyDescent="0.4">
      <c r="A90" s="448"/>
      <c r="B90" s="450"/>
      <c r="C90" s="450"/>
      <c r="D90" s="300" t="s">
        <v>68</v>
      </c>
      <c r="E90" s="302" t="s">
        <v>217</v>
      </c>
      <c r="F90" s="451">
        <f>E93/1000</f>
        <v>0.45989999999999998</v>
      </c>
      <c r="I90" s="109"/>
      <c r="J90" s="109"/>
      <c r="K90" s="109"/>
      <c r="L90" s="109"/>
      <c r="M90" s="109"/>
      <c r="N90" s="97"/>
      <c r="O90" s="97"/>
      <c r="P90" s="97"/>
      <c r="Q90" s="97"/>
    </row>
    <row r="91" spans="1:17" ht="19.5" customHeight="1" thickBot="1" x14ac:dyDescent="0.4">
      <c r="A91" s="277" t="s">
        <v>209</v>
      </c>
      <c r="B91" s="272">
        <v>5</v>
      </c>
      <c r="C91" s="306">
        <v>4.38</v>
      </c>
      <c r="D91" s="299">
        <f>C91*B91</f>
        <v>21.9</v>
      </c>
      <c r="E91" s="303">
        <f>+D91*21</f>
        <v>459.9</v>
      </c>
      <c r="F91" s="452"/>
      <c r="I91" s="109"/>
      <c r="J91" s="109"/>
      <c r="K91" s="109"/>
      <c r="L91" s="109"/>
      <c r="M91" s="109"/>
      <c r="N91" s="97"/>
      <c r="O91" s="97"/>
      <c r="P91" s="97"/>
      <c r="Q91" s="97"/>
    </row>
    <row r="92" spans="1:17" ht="19.5" customHeight="1" thickBot="1" x14ac:dyDescent="0.4">
      <c r="A92" s="280" t="s">
        <v>210</v>
      </c>
      <c r="B92" s="263">
        <v>0</v>
      </c>
      <c r="C92" s="307">
        <v>0.876</v>
      </c>
      <c r="D92" s="282">
        <f>C92*B92</f>
        <v>0</v>
      </c>
      <c r="E92" s="308">
        <f>+D92*21</f>
        <v>0</v>
      </c>
      <c r="F92" s="452"/>
      <c r="I92" s="117"/>
      <c r="J92" s="117"/>
      <c r="K92" s="117"/>
      <c r="L92" s="117"/>
      <c r="M92" s="117"/>
      <c r="N92" s="97"/>
      <c r="O92" s="97"/>
      <c r="P92" s="97"/>
      <c r="Q92" s="97"/>
    </row>
    <row r="93" spans="1:17" ht="27.75" customHeight="1" thickBot="1" x14ac:dyDescent="0.4">
      <c r="A93" s="44" t="s">
        <v>216</v>
      </c>
      <c r="B93" s="45"/>
      <c r="C93" s="45"/>
      <c r="D93" s="45"/>
      <c r="E93" s="309">
        <f>SUM(E91:E92)</f>
        <v>459.9</v>
      </c>
      <c r="F93" s="453"/>
      <c r="I93" s="117"/>
      <c r="J93" s="117"/>
      <c r="K93" s="117"/>
      <c r="L93" s="117"/>
      <c r="M93" s="117"/>
      <c r="N93" s="97"/>
      <c r="O93" s="97"/>
      <c r="P93" s="97"/>
      <c r="Q93" s="97"/>
    </row>
    <row r="94" spans="1:17" ht="17.25" customHeight="1" x14ac:dyDescent="0.25">
      <c r="I94" s="117"/>
      <c r="J94" s="117"/>
      <c r="K94" s="117"/>
      <c r="L94" s="117"/>
      <c r="M94" s="117"/>
      <c r="N94" s="97"/>
      <c r="O94" s="97"/>
      <c r="P94" s="97"/>
      <c r="Q94" s="97"/>
    </row>
    <row r="95" spans="1:17" ht="17.25" customHeight="1" x14ac:dyDescent="0.25">
      <c r="I95" s="117"/>
      <c r="J95" s="117"/>
      <c r="K95" s="117"/>
      <c r="L95" s="117"/>
      <c r="M95" s="117"/>
      <c r="N95" s="97"/>
      <c r="O95" s="97"/>
      <c r="P95" s="97"/>
      <c r="Q95" s="97"/>
    </row>
    <row r="96" spans="1:17" ht="15.75" customHeight="1" x14ac:dyDescent="0.25">
      <c r="A96" s="218"/>
      <c r="B96" s="119"/>
      <c r="C96" s="119"/>
      <c r="D96" s="119"/>
      <c r="E96" s="119"/>
      <c r="F96" s="119"/>
      <c r="G96" s="119"/>
      <c r="H96" s="119"/>
      <c r="I96" s="437"/>
      <c r="J96" s="437"/>
      <c r="K96" s="437"/>
      <c r="L96" s="437"/>
      <c r="M96" s="219"/>
      <c r="N96" s="97"/>
      <c r="O96" s="97"/>
      <c r="P96" s="97"/>
      <c r="Q96" s="97"/>
    </row>
    <row r="97" spans="1:17" x14ac:dyDescent="0.35">
      <c r="A97" s="47"/>
      <c r="B97" s="305"/>
      <c r="C97" s="210"/>
      <c r="D97" s="210"/>
      <c r="E97" s="210"/>
      <c r="F97" s="210"/>
      <c r="G97" s="210"/>
      <c r="H97" s="53"/>
      <c r="I97" s="119"/>
      <c r="J97" s="119"/>
      <c r="K97" s="119"/>
      <c r="L97" s="119"/>
      <c r="M97" s="109"/>
      <c r="N97" s="97"/>
      <c r="O97" s="97"/>
      <c r="P97" s="97"/>
      <c r="Q97" s="97"/>
    </row>
    <row r="98" spans="1:17" ht="22.5" customHeight="1" x14ac:dyDescent="0.35">
      <c r="A98" s="47"/>
      <c r="B98" s="305"/>
      <c r="C98" s="210"/>
      <c r="D98" s="210"/>
      <c r="E98" s="210"/>
      <c r="F98" s="210"/>
      <c r="G98" s="210"/>
      <c r="H98" s="53"/>
      <c r="I98" s="120"/>
      <c r="J98" s="120"/>
      <c r="K98" s="222"/>
      <c r="L98" s="120"/>
      <c r="M98" s="435"/>
      <c r="N98" s="97"/>
      <c r="O98" s="97"/>
      <c r="P98" s="97"/>
      <c r="Q98" s="97"/>
    </row>
    <row r="99" spans="1:17" ht="23.25" customHeight="1" x14ac:dyDescent="0.35">
      <c r="A99" s="217"/>
      <c r="B99" s="221"/>
      <c r="C99" s="210"/>
      <c r="D99" s="210"/>
      <c r="E99" s="266"/>
      <c r="F99" s="266"/>
      <c r="G99" s="266"/>
      <c r="H99" s="53"/>
      <c r="I99" s="224"/>
      <c r="J99" s="120"/>
      <c r="K99" s="224"/>
      <c r="L99" s="120"/>
      <c r="M99" s="435"/>
      <c r="N99" s="97"/>
      <c r="O99" s="97"/>
      <c r="P99" s="97"/>
      <c r="Q99" s="97"/>
    </row>
    <row r="100" spans="1:17" x14ac:dyDescent="0.3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35"/>
    </row>
    <row r="101" spans="1:17" x14ac:dyDescent="0.3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35"/>
    </row>
    <row r="102" spans="1:17" ht="28.5" x14ac:dyDescent="0.35">
      <c r="A102" s="117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56"/>
    </row>
    <row r="103" spans="1:17" ht="32.25" customHeight="1" x14ac:dyDescent="0.35">
      <c r="A103" s="293"/>
      <c r="B103" s="294"/>
      <c r="C103" s="225"/>
      <c r="D103" s="225"/>
      <c r="E103" s="295"/>
      <c r="F103" s="295"/>
      <c r="G103" s="225"/>
      <c r="H103" s="219"/>
      <c r="I103" s="47"/>
      <c r="J103" s="47"/>
      <c r="K103" s="47"/>
      <c r="L103" s="47"/>
      <c r="M103" s="47"/>
    </row>
    <row r="104" spans="1:17" x14ac:dyDescent="0.35">
      <c r="A104" s="293"/>
      <c r="B104" s="294"/>
      <c r="C104" s="225"/>
      <c r="D104" s="225"/>
      <c r="E104" s="226"/>
      <c r="F104" s="226"/>
      <c r="G104" s="225"/>
      <c r="H104" s="109"/>
      <c r="I104" s="47"/>
      <c r="J104" s="47"/>
      <c r="K104" s="47"/>
      <c r="L104" s="47"/>
      <c r="M104" s="47"/>
    </row>
    <row r="105" spans="1:17" x14ac:dyDescent="0.35">
      <c r="A105" s="109"/>
      <c r="B105" s="109"/>
      <c r="C105" s="225"/>
      <c r="D105" s="225"/>
      <c r="E105" s="226"/>
      <c r="F105" s="226"/>
      <c r="G105" s="227"/>
      <c r="H105" s="435"/>
      <c r="I105" s="47"/>
      <c r="J105" s="47"/>
      <c r="K105" s="47"/>
      <c r="L105" s="47"/>
      <c r="M105" s="47"/>
    </row>
    <row r="106" spans="1:17" x14ac:dyDescent="0.35">
      <c r="A106" s="109"/>
      <c r="B106" s="109"/>
      <c r="C106" s="225"/>
      <c r="D106" s="225"/>
      <c r="E106" s="226"/>
      <c r="F106" s="226"/>
      <c r="G106" s="227"/>
      <c r="H106" s="435"/>
      <c r="I106" s="47"/>
      <c r="J106" s="47"/>
      <c r="K106" s="47"/>
      <c r="L106" s="47"/>
      <c r="M106" s="47"/>
    </row>
    <row r="107" spans="1:17" x14ac:dyDescent="0.35">
      <c r="A107" s="47"/>
      <c r="B107" s="109"/>
      <c r="C107" s="225"/>
      <c r="D107" s="225"/>
      <c r="E107" s="226"/>
      <c r="F107" s="226"/>
      <c r="G107" s="227"/>
      <c r="H107" s="435"/>
      <c r="I107" s="47"/>
      <c r="J107" s="47"/>
      <c r="K107" s="47"/>
      <c r="L107" s="47"/>
      <c r="M107" s="47"/>
    </row>
    <row r="108" spans="1:17" ht="31.5" customHeight="1" x14ac:dyDescent="0.35">
      <c r="A108" s="47"/>
      <c r="B108" s="109"/>
      <c r="C108" s="225"/>
      <c r="D108" s="225"/>
      <c r="E108" s="226"/>
      <c r="F108" s="226"/>
      <c r="G108" s="227"/>
      <c r="H108" s="435"/>
      <c r="I108" s="47"/>
      <c r="J108" s="47"/>
      <c r="K108" s="47"/>
      <c r="L108" s="47"/>
      <c r="M108" s="47"/>
    </row>
    <row r="109" spans="1:17" x14ac:dyDescent="0.3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7" x14ac:dyDescent="0.3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1:17" ht="28.5" x14ac:dyDescent="0.35">
      <c r="A111" s="436"/>
      <c r="B111" s="436"/>
      <c r="C111" s="436"/>
      <c r="D111" s="436"/>
      <c r="E111" s="436"/>
      <c r="F111" s="436"/>
      <c r="G111" s="436"/>
      <c r="H111" s="436"/>
      <c r="I111" s="436"/>
      <c r="J111" s="436"/>
      <c r="K111" s="436"/>
      <c r="L111" s="47"/>
      <c r="M111" s="47"/>
    </row>
    <row r="112" spans="1:17" ht="32.25" customHeight="1" x14ac:dyDescent="0.35">
      <c r="A112" s="228"/>
      <c r="B112" s="229"/>
      <c r="C112" s="229"/>
      <c r="D112" s="229"/>
      <c r="E112" s="229"/>
      <c r="F112" s="229"/>
      <c r="G112" s="229"/>
      <c r="H112" s="229"/>
      <c r="I112" s="437"/>
      <c r="J112" s="437"/>
      <c r="K112" s="219"/>
      <c r="L112" s="118"/>
      <c r="M112" s="47"/>
    </row>
    <row r="113" spans="1:13" x14ac:dyDescent="0.35">
      <c r="A113" s="230"/>
      <c r="B113" s="438"/>
      <c r="C113" s="438"/>
      <c r="D113" s="438"/>
      <c r="E113" s="229"/>
      <c r="F113" s="229"/>
      <c r="G113" s="229"/>
      <c r="H113" s="229"/>
      <c r="I113" s="229"/>
      <c r="J113" s="229"/>
      <c r="K113" s="109"/>
      <c r="L113" s="119"/>
      <c r="M113" s="47"/>
    </row>
    <row r="114" spans="1:13" x14ac:dyDescent="0.35">
      <c r="A114" s="231"/>
      <c r="B114" s="231"/>
      <c r="C114" s="232"/>
      <c r="D114" s="233"/>
      <c r="E114" s="231"/>
      <c r="F114" s="232"/>
      <c r="G114" s="233"/>
      <c r="H114" s="232"/>
      <c r="I114" s="234"/>
      <c r="J114" s="234"/>
      <c r="K114" s="435"/>
      <c r="L114" s="120"/>
      <c r="M114" s="47"/>
    </row>
    <row r="115" spans="1:13" x14ac:dyDescent="0.35">
      <c r="A115" s="230"/>
      <c r="B115" s="235"/>
      <c r="C115" s="235"/>
      <c r="D115" s="235"/>
      <c r="E115" s="228"/>
      <c r="F115" s="234"/>
      <c r="G115" s="235"/>
      <c r="H115" s="235"/>
      <c r="I115" s="235"/>
      <c r="J115" s="234"/>
      <c r="K115" s="435"/>
      <c r="L115" s="120"/>
      <c r="M115" s="47"/>
    </row>
    <row r="116" spans="1:13" x14ac:dyDescent="0.3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35"/>
      <c r="L116" s="47"/>
      <c r="M116" s="47"/>
    </row>
    <row r="117" spans="1:13" x14ac:dyDescent="0.3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35"/>
      <c r="L117" s="47"/>
      <c r="M117" s="47"/>
    </row>
    <row r="118" spans="1:13" x14ac:dyDescent="0.3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</row>
    <row r="119" spans="1:13" x14ac:dyDescent="0.3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</row>
    <row r="120" spans="1:13" x14ac:dyDescent="0.3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</row>
    <row r="121" spans="1:13" x14ac:dyDescent="0.3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</row>
    <row r="122" spans="1:13" x14ac:dyDescent="0.3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</row>
    <row r="123" spans="1:13" x14ac:dyDescent="0.3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</row>
    <row r="124" spans="1:13" x14ac:dyDescent="0.3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</row>
    <row r="125" spans="1:13" x14ac:dyDescent="0.3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</row>
    <row r="126" spans="1:13" x14ac:dyDescent="0.3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</row>
    <row r="127" spans="1:13" x14ac:dyDescent="0.3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x14ac:dyDescent="0.3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</row>
  </sheetData>
  <protectedRanges>
    <protectedRange algorithmName="SHA-512" hashValue="WcckQcDeKD8214lfi0vSSR4NLSCLMy4MpsQouTcNfJ1DoMHUg3gBxSDzNtUc/YXSAK74Dz7twknWhAtX1UL/Hg==" saltValue="rHSCtw3khs5TNds/CSwlxQ==" spinCount="100000" sqref="B7:J13 E25 B22:D28 B34:D40 B97:D99 B83:D84 B91:C92" name="Metano_3"/>
  </protectedRanges>
  <mergeCells count="82">
    <mergeCell ref="H33:H39"/>
    <mergeCell ref="A80:E80"/>
    <mergeCell ref="A81:A82"/>
    <mergeCell ref="B81:B82"/>
    <mergeCell ref="C81:C82"/>
    <mergeCell ref="D81:D82"/>
    <mergeCell ref="E81:G81"/>
    <mergeCell ref="H82:H85"/>
    <mergeCell ref="A73:A74"/>
    <mergeCell ref="B73:B74"/>
    <mergeCell ref="A62:E62"/>
    <mergeCell ref="A42:D42"/>
    <mergeCell ref="A63:A64"/>
    <mergeCell ref="B63:B64"/>
    <mergeCell ref="A68:A69"/>
    <mergeCell ref="B68:B69"/>
    <mergeCell ref="A31:E31"/>
    <mergeCell ref="A32:A33"/>
    <mergeCell ref="B32:B33"/>
    <mergeCell ref="C32:C33"/>
    <mergeCell ref="D32:D33"/>
    <mergeCell ref="E33:F33"/>
    <mergeCell ref="E32:G32"/>
    <mergeCell ref="A49:E49"/>
    <mergeCell ref="C51:D53"/>
    <mergeCell ref="E51:E53"/>
    <mergeCell ref="A55:E55"/>
    <mergeCell ref="K114:K117"/>
    <mergeCell ref="I96:L96"/>
    <mergeCell ref="A88:E88"/>
    <mergeCell ref="A89:A90"/>
    <mergeCell ref="B89:B90"/>
    <mergeCell ref="C89:C90"/>
    <mergeCell ref="F90:F93"/>
    <mergeCell ref="D89:E89"/>
    <mergeCell ref="C57:D59"/>
    <mergeCell ref="E57:E59"/>
    <mergeCell ref="M98:M101"/>
    <mergeCell ref="H105:H108"/>
    <mergeCell ref="A111:K111"/>
    <mergeCell ref="I112:J112"/>
    <mergeCell ref="B113:D113"/>
    <mergeCell ref="N79:P79"/>
    <mergeCell ref="N80:P80"/>
    <mergeCell ref="Q81:Q85"/>
    <mergeCell ref="E63:G63"/>
    <mergeCell ref="H63:J63"/>
    <mergeCell ref="L65:L68"/>
    <mergeCell ref="AD7:AD13"/>
    <mergeCell ref="A19:D19"/>
    <mergeCell ref="A20:A21"/>
    <mergeCell ref="G20:H20"/>
    <mergeCell ref="F21:G21"/>
    <mergeCell ref="I21:I29"/>
    <mergeCell ref="A18:E18"/>
    <mergeCell ref="E43:F43"/>
    <mergeCell ref="E44:F44"/>
    <mergeCell ref="E45:F45"/>
    <mergeCell ref="H45:H47"/>
    <mergeCell ref="E46:F46"/>
    <mergeCell ref="AB6:AC6"/>
    <mergeCell ref="T4:T6"/>
    <mergeCell ref="U4:U6"/>
    <mergeCell ref="V4:X4"/>
    <mergeCell ref="Y4:AB4"/>
    <mergeCell ref="AC4:AD4"/>
    <mergeCell ref="A3:E3"/>
    <mergeCell ref="A1:E1"/>
    <mergeCell ref="AE4:AE5"/>
    <mergeCell ref="A4:D4"/>
    <mergeCell ref="E4:G4"/>
    <mergeCell ref="I4:J4"/>
    <mergeCell ref="K4:P4"/>
    <mergeCell ref="Q4:S4"/>
    <mergeCell ref="A5:A6"/>
    <mergeCell ref="K5:L5"/>
    <mergeCell ref="M5:N5"/>
    <mergeCell ref="O5:P5"/>
    <mergeCell ref="AB5:AC5"/>
    <mergeCell ref="E6:F6"/>
    <mergeCell ref="Q6:S6"/>
    <mergeCell ref="Y6:AA6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5"/>
  <sheetViews>
    <sheetView workbookViewId="0">
      <selection sqref="A1:E1"/>
    </sheetView>
  </sheetViews>
  <sheetFormatPr baseColWidth="10" defaultRowHeight="14.5" x14ac:dyDescent="0.35"/>
  <cols>
    <col min="1" max="1" width="44.1796875" customWidth="1"/>
    <col min="2" max="2" width="21.26953125" customWidth="1"/>
    <col min="3" max="3" width="23" customWidth="1"/>
    <col min="4" max="4" width="17" customWidth="1"/>
    <col min="5" max="5" width="15.7265625" bestFit="1" customWidth="1"/>
    <col min="6" max="6" width="18.81640625" customWidth="1"/>
    <col min="7" max="7" width="16.7265625" customWidth="1"/>
    <col min="8" max="8" width="13.7265625" customWidth="1"/>
    <col min="31" max="31" width="33.1796875" bestFit="1" customWidth="1"/>
  </cols>
  <sheetData>
    <row r="1" spans="1:31" ht="32.25" thickBot="1" x14ac:dyDescent="0.55000000000000004">
      <c r="A1" s="371" t="s">
        <v>92</v>
      </c>
      <c r="B1" s="372"/>
      <c r="C1" s="372"/>
      <c r="D1" s="372"/>
      <c r="E1" s="373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</row>
    <row r="3" spans="1:31" ht="15.75" thickBot="1" x14ac:dyDescent="0.3"/>
    <row r="4" spans="1:31" ht="29.25" thickBot="1" x14ac:dyDescent="0.3">
      <c r="A4" s="496" t="s">
        <v>113</v>
      </c>
      <c r="B4" s="497"/>
      <c r="C4" s="497"/>
      <c r="D4" s="497"/>
      <c r="E4" s="498"/>
      <c r="F4" s="117"/>
      <c r="G4" s="117"/>
      <c r="H4" s="117"/>
      <c r="I4" s="117"/>
      <c r="J4" s="117"/>
      <c r="K4" s="117"/>
      <c r="L4" s="117"/>
      <c r="M4" s="117"/>
      <c r="N4" s="427" t="s">
        <v>116</v>
      </c>
      <c r="O4" s="427"/>
      <c r="P4" s="427"/>
      <c r="Q4" s="16" t="s">
        <v>47</v>
      </c>
    </row>
    <row r="5" spans="1:31" ht="16" thickBot="1" x14ac:dyDescent="0.4">
      <c r="A5" s="58"/>
      <c r="B5" s="499" t="s">
        <v>111</v>
      </c>
      <c r="C5" s="500"/>
      <c r="D5" s="500"/>
      <c r="E5" s="500"/>
      <c r="F5" s="500"/>
      <c r="G5" s="500"/>
      <c r="H5" s="502" t="s">
        <v>112</v>
      </c>
      <c r="I5" s="503"/>
      <c r="J5" s="503"/>
      <c r="K5" s="503"/>
      <c r="L5" s="503"/>
      <c r="M5" s="503"/>
      <c r="N5" s="428" t="s">
        <v>117</v>
      </c>
      <c r="O5" s="428"/>
      <c r="P5" s="428"/>
      <c r="Q5" s="90" t="s">
        <v>170</v>
      </c>
    </row>
    <row r="6" spans="1:31" ht="15.75" customHeight="1" x14ac:dyDescent="0.35">
      <c r="A6" s="58"/>
      <c r="B6" s="501"/>
      <c r="C6" s="501"/>
      <c r="D6" s="501"/>
      <c r="E6" s="501"/>
      <c r="F6" s="501"/>
      <c r="G6" s="501"/>
      <c r="H6" s="504"/>
      <c r="I6" s="504"/>
      <c r="J6" s="504"/>
      <c r="K6" s="504"/>
      <c r="L6" s="504"/>
      <c r="M6" s="504"/>
      <c r="N6" s="69" t="s">
        <v>40</v>
      </c>
      <c r="O6" s="70" t="s">
        <v>52</v>
      </c>
      <c r="P6" s="71">
        <v>364</v>
      </c>
      <c r="Q6" s="429">
        <f>P10</f>
        <v>-893.50375581538481</v>
      </c>
    </row>
    <row r="7" spans="1:31" x14ac:dyDescent="0.35">
      <c r="A7" s="487" t="s">
        <v>99</v>
      </c>
      <c r="B7" s="91" t="s">
        <v>100</v>
      </c>
      <c r="C7" s="92" t="s">
        <v>101</v>
      </c>
      <c r="D7" s="92" t="s">
        <v>102</v>
      </c>
      <c r="E7" s="59" t="s">
        <v>171</v>
      </c>
      <c r="F7" s="59" t="s">
        <v>103</v>
      </c>
      <c r="G7" s="59" t="s">
        <v>104</v>
      </c>
      <c r="H7" s="93" t="s">
        <v>100</v>
      </c>
      <c r="I7" s="94" t="s">
        <v>101</v>
      </c>
      <c r="J7" s="94" t="s">
        <v>102</v>
      </c>
      <c r="K7" s="60" t="s">
        <v>105</v>
      </c>
      <c r="L7" s="60" t="s">
        <v>103</v>
      </c>
      <c r="M7" s="60" t="s">
        <v>104</v>
      </c>
      <c r="N7" s="69" t="s">
        <v>118</v>
      </c>
      <c r="O7" s="70" t="s">
        <v>119</v>
      </c>
      <c r="P7" s="72">
        <f>(G9-M9)+(G10-M10)</f>
        <v>-242.79449600000004</v>
      </c>
      <c r="Q7" s="430"/>
    </row>
    <row r="8" spans="1:31" x14ac:dyDescent="0.35">
      <c r="A8" s="487"/>
      <c r="B8" s="488" t="s">
        <v>106</v>
      </c>
      <c r="C8" s="488"/>
      <c r="D8" s="489"/>
      <c r="E8" s="61" t="s">
        <v>107</v>
      </c>
      <c r="F8" s="61" t="s">
        <v>108</v>
      </c>
      <c r="G8" s="61" t="s">
        <v>109</v>
      </c>
      <c r="H8" s="490" t="s">
        <v>110</v>
      </c>
      <c r="I8" s="491"/>
      <c r="J8" s="492"/>
      <c r="K8" s="60" t="s">
        <v>107</v>
      </c>
      <c r="L8" s="60" t="s">
        <v>108</v>
      </c>
      <c r="M8" s="60" t="s">
        <v>109</v>
      </c>
      <c r="N8" s="69" t="s">
        <v>120</v>
      </c>
      <c r="O8" s="70" t="s">
        <v>119</v>
      </c>
      <c r="P8" s="72">
        <f>(P7/P6)*365</f>
        <v>-243.46151384615391</v>
      </c>
      <c r="Q8" s="430"/>
    </row>
    <row r="9" spans="1:31" ht="23.25" customHeight="1" x14ac:dyDescent="0.4">
      <c r="A9" s="95" t="s">
        <v>114</v>
      </c>
      <c r="B9" s="62">
        <v>0.85</v>
      </c>
      <c r="C9" s="63">
        <f>B9*0.58</f>
        <v>0.49299999999999994</v>
      </c>
      <c r="D9" s="63">
        <v>1.04</v>
      </c>
      <c r="E9" s="64">
        <f>C9*D9*0.1</f>
        <v>5.1271999999999998E-2</v>
      </c>
      <c r="F9" s="61">
        <v>20</v>
      </c>
      <c r="G9" s="65">
        <f t="shared" ref="G9:G10" si="0">E9*F9</f>
        <v>1.0254399999999999</v>
      </c>
      <c r="H9" s="66">
        <v>0.9</v>
      </c>
      <c r="I9" s="66">
        <f>H9*0.58</f>
        <v>0.52200000000000002</v>
      </c>
      <c r="J9" s="66">
        <v>1.04</v>
      </c>
      <c r="K9" s="67">
        <f>I9*J9*10</f>
        <v>5.4288000000000007</v>
      </c>
      <c r="L9" s="60">
        <v>32</v>
      </c>
      <c r="M9" s="68">
        <f t="shared" ref="M9:M10" si="1">K9*L9</f>
        <v>173.72160000000002</v>
      </c>
      <c r="N9" s="69" t="s">
        <v>121</v>
      </c>
      <c r="O9" s="70" t="s">
        <v>138</v>
      </c>
      <c r="P9" s="71">
        <v>3.67</v>
      </c>
      <c r="Q9" s="430"/>
    </row>
    <row r="10" spans="1:31" ht="31.5" customHeight="1" x14ac:dyDescent="0.4">
      <c r="A10" s="96" t="s">
        <v>115</v>
      </c>
      <c r="B10" s="62">
        <v>0.35</v>
      </c>
      <c r="C10" s="63">
        <f>B10*0.58</f>
        <v>0.20299999999999999</v>
      </c>
      <c r="D10" s="63">
        <v>1.0900000000000001</v>
      </c>
      <c r="E10" s="64">
        <f>C10*D10*0.1</f>
        <v>2.2127000000000001E-2</v>
      </c>
      <c r="F10" s="61">
        <v>32</v>
      </c>
      <c r="G10" s="65">
        <f t="shared" si="0"/>
        <v>0.70806400000000003</v>
      </c>
      <c r="H10" s="66">
        <v>0.35</v>
      </c>
      <c r="I10" s="66">
        <f>H10*0.58</f>
        <v>0.20299999999999999</v>
      </c>
      <c r="J10" s="66">
        <v>1.0900000000000001</v>
      </c>
      <c r="K10" s="67">
        <f>I10*J10*10</f>
        <v>2.2126999999999999</v>
      </c>
      <c r="L10" s="60">
        <v>32</v>
      </c>
      <c r="M10" s="68">
        <f t="shared" si="1"/>
        <v>70.806399999999996</v>
      </c>
      <c r="N10" s="69" t="s">
        <v>120</v>
      </c>
      <c r="O10" s="70" t="s">
        <v>122</v>
      </c>
      <c r="P10" s="72">
        <f>P8*P9</f>
        <v>-893.50375581538481</v>
      </c>
      <c r="Q10" s="430"/>
    </row>
    <row r="11" spans="1:31" ht="15" x14ac:dyDescent="0.2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</row>
    <row r="12" spans="1:31" ht="15.75" thickBot="1" x14ac:dyDescent="0.3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</row>
    <row r="13" spans="1:31" ht="29.25" thickBot="1" x14ac:dyDescent="0.3">
      <c r="A13" s="496" t="s">
        <v>15</v>
      </c>
      <c r="B13" s="497"/>
      <c r="C13" s="497"/>
      <c r="D13" s="497"/>
      <c r="E13" s="498"/>
      <c r="F13" s="291"/>
      <c r="G13" s="291"/>
      <c r="H13" s="291"/>
      <c r="I13" s="291"/>
      <c r="J13" s="291"/>
      <c r="K13" s="291"/>
      <c r="L13" s="291"/>
      <c r="M13" s="291"/>
      <c r="N13" s="97"/>
      <c r="O13" s="97"/>
      <c r="P13" s="97"/>
      <c r="Q13" s="97"/>
    </row>
    <row r="14" spans="1:31" ht="31.5" thickBot="1" x14ac:dyDescent="0.4">
      <c r="A14" s="98" t="s">
        <v>125</v>
      </c>
      <c r="B14" s="74" t="s">
        <v>126</v>
      </c>
      <c r="C14" s="74" t="s">
        <v>127</v>
      </c>
      <c r="D14" s="74" t="s">
        <v>144</v>
      </c>
      <c r="E14" s="75" t="s">
        <v>143</v>
      </c>
      <c r="F14" s="75" t="s">
        <v>128</v>
      </c>
      <c r="G14" s="75" t="s">
        <v>129</v>
      </c>
      <c r="H14" s="75" t="s">
        <v>130</v>
      </c>
      <c r="I14" s="494" t="s">
        <v>137</v>
      </c>
      <c r="J14" s="494"/>
      <c r="K14" s="494"/>
      <c r="L14" s="494"/>
      <c r="M14" s="16" t="s">
        <v>47</v>
      </c>
      <c r="N14" s="97"/>
      <c r="O14" s="97"/>
      <c r="P14" s="97"/>
      <c r="Q14" s="97"/>
    </row>
    <row r="15" spans="1:31" ht="15" thickBot="1" x14ac:dyDescent="0.4">
      <c r="A15" s="95"/>
      <c r="B15" s="495" t="s">
        <v>5</v>
      </c>
      <c r="C15" s="495"/>
      <c r="D15" s="495"/>
      <c r="E15" s="76" t="s">
        <v>131</v>
      </c>
      <c r="F15" s="76" t="s">
        <v>132</v>
      </c>
      <c r="G15" s="76" t="s">
        <v>133</v>
      </c>
      <c r="H15" s="76" t="s">
        <v>4</v>
      </c>
      <c r="I15" s="76" t="s">
        <v>134</v>
      </c>
      <c r="J15" s="76" t="s">
        <v>135</v>
      </c>
      <c r="K15" s="76" t="s">
        <v>136</v>
      </c>
      <c r="L15" s="76" t="s">
        <v>146</v>
      </c>
      <c r="M15" s="90" t="s">
        <v>170</v>
      </c>
      <c r="N15" s="97"/>
      <c r="O15" s="97"/>
      <c r="P15" s="97"/>
      <c r="Q15" s="97"/>
    </row>
    <row r="16" spans="1:31" ht="22.5" customHeight="1" x14ac:dyDescent="0.35">
      <c r="A16" s="99" t="s">
        <v>145</v>
      </c>
      <c r="B16" s="77">
        <v>400</v>
      </c>
      <c r="C16" s="78">
        <v>0.05</v>
      </c>
      <c r="D16" s="79">
        <v>1.5</v>
      </c>
      <c r="E16" s="80">
        <v>100</v>
      </c>
      <c r="F16" s="81">
        <f>B16/1000</f>
        <v>0.4</v>
      </c>
      <c r="G16" s="82">
        <v>1</v>
      </c>
      <c r="H16" s="81">
        <f>B16/E16</f>
        <v>4</v>
      </c>
      <c r="I16" s="83">
        <f>((((POWER(C16,2))*0.7854*D16*0.4*1.3)*0.5*3.67))*1000</f>
        <v>2.8103575500000018</v>
      </c>
      <c r="J16" s="83">
        <f>((I16*E16*F16)/B16)</f>
        <v>0.28103575500000022</v>
      </c>
      <c r="K16" s="84">
        <f>((I16*E16)/B16)</f>
        <v>0.70258938750000044</v>
      </c>
      <c r="L16" s="83">
        <f>J16/G16</f>
        <v>0.28103575500000022</v>
      </c>
      <c r="M16" s="414">
        <f>-L17*64</f>
        <v>-17.986288320000014</v>
      </c>
      <c r="N16" s="97"/>
      <c r="O16" s="97"/>
      <c r="P16" s="97"/>
      <c r="Q16" s="97"/>
    </row>
    <row r="17" spans="1:17" ht="23.25" customHeight="1" x14ac:dyDescent="0.35">
      <c r="A17" s="95"/>
      <c r="B17" s="85"/>
      <c r="C17" s="85"/>
      <c r="D17" s="85"/>
      <c r="E17" s="86" t="s">
        <v>6</v>
      </c>
      <c r="F17" s="87">
        <f>SUM(F16:F16)</f>
        <v>0.4</v>
      </c>
      <c r="G17" s="88"/>
      <c r="H17" s="88"/>
      <c r="I17" s="89"/>
      <c r="J17" s="83">
        <f>SUM(J16:J16)</f>
        <v>0.28103575500000022</v>
      </c>
      <c r="K17" s="89"/>
      <c r="L17" s="83">
        <f>SUM(L16:L16)</f>
        <v>0.28103575500000022</v>
      </c>
      <c r="M17" s="415"/>
      <c r="N17" s="97"/>
      <c r="O17" s="97"/>
      <c r="P17" s="97"/>
      <c r="Q17" s="97"/>
    </row>
    <row r="18" spans="1:17" x14ac:dyDescent="0.35">
      <c r="M18" s="415"/>
    </row>
    <row r="19" spans="1:17" ht="15" thickBot="1" x14ac:dyDescent="0.4">
      <c r="M19" s="416"/>
    </row>
    <row r="20" spans="1:17" ht="29" thickBot="1" x14ac:dyDescent="0.4">
      <c r="A20" s="496" t="s">
        <v>16</v>
      </c>
      <c r="B20" s="497"/>
      <c r="C20" s="497"/>
      <c r="D20" s="497"/>
      <c r="E20" s="498"/>
      <c r="F20" s="291"/>
      <c r="G20" s="291"/>
      <c r="H20" s="291"/>
      <c r="I20" s="117"/>
      <c r="J20" s="117"/>
      <c r="K20" s="117"/>
      <c r="L20" s="117"/>
      <c r="M20" s="117"/>
      <c r="N20" s="56"/>
    </row>
    <row r="21" spans="1:17" ht="32.25" customHeight="1" thickBot="1" x14ac:dyDescent="0.4">
      <c r="A21" s="484" t="s">
        <v>147</v>
      </c>
      <c r="B21" s="485" t="s">
        <v>148</v>
      </c>
      <c r="C21" s="111" t="s">
        <v>149</v>
      </c>
      <c r="D21" s="111" t="s">
        <v>150</v>
      </c>
      <c r="E21" s="486" t="s">
        <v>151</v>
      </c>
      <c r="F21" s="486"/>
      <c r="G21" s="112" t="s">
        <v>162</v>
      </c>
      <c r="H21" s="16" t="s">
        <v>47</v>
      </c>
    </row>
    <row r="22" spans="1:17" ht="27.75" customHeight="1" thickBot="1" x14ac:dyDescent="0.4">
      <c r="A22" s="484"/>
      <c r="B22" s="485"/>
      <c r="C22" s="111" t="s">
        <v>1</v>
      </c>
      <c r="D22" s="111" t="s">
        <v>152</v>
      </c>
      <c r="E22" s="113" t="s">
        <v>153</v>
      </c>
      <c r="F22" s="113" t="s">
        <v>154</v>
      </c>
      <c r="G22" s="112" t="s">
        <v>155</v>
      </c>
      <c r="H22" s="90" t="s">
        <v>170</v>
      </c>
    </row>
    <row r="23" spans="1:17" x14ac:dyDescent="0.35">
      <c r="A23" s="114" t="s">
        <v>156</v>
      </c>
      <c r="B23" s="114" t="s">
        <v>157</v>
      </c>
      <c r="C23" s="111">
        <v>0</v>
      </c>
      <c r="D23" s="111">
        <v>2</v>
      </c>
      <c r="E23" s="113">
        <v>1.76</v>
      </c>
      <c r="F23" s="113">
        <v>6.5</v>
      </c>
      <c r="G23" s="115">
        <f>C23*D23*0.47*(44/12)</f>
        <v>0</v>
      </c>
      <c r="H23" s="414">
        <f>-(G25+G26)</f>
        <v>-44.806666666666658</v>
      </c>
    </row>
    <row r="24" spans="1:17" x14ac:dyDescent="0.35">
      <c r="A24" s="114" t="s">
        <v>158</v>
      </c>
      <c r="B24" s="114" t="s">
        <v>159</v>
      </c>
      <c r="C24" s="111">
        <v>0</v>
      </c>
      <c r="D24" s="111">
        <v>7</v>
      </c>
      <c r="E24" s="113">
        <v>1.76</v>
      </c>
      <c r="F24" s="113">
        <v>6.5</v>
      </c>
      <c r="G24" s="115">
        <f>C24*D24*0.47*(44/12)</f>
        <v>0</v>
      </c>
      <c r="H24" s="415"/>
    </row>
    <row r="25" spans="1:17" x14ac:dyDescent="0.35">
      <c r="A25" s="116" t="s">
        <v>163</v>
      </c>
      <c r="B25" s="114" t="s">
        <v>160</v>
      </c>
      <c r="C25" s="111">
        <v>6</v>
      </c>
      <c r="D25" s="111">
        <v>1</v>
      </c>
      <c r="E25" s="113">
        <v>1.76</v>
      </c>
      <c r="F25" s="113">
        <v>6.5</v>
      </c>
      <c r="G25" s="115">
        <f>C25*D25*0.47*(44/12)</f>
        <v>10.34</v>
      </c>
      <c r="H25" s="415"/>
    </row>
    <row r="26" spans="1:17" ht="31.5" customHeight="1" thickBot="1" x14ac:dyDescent="0.4">
      <c r="A26" s="116" t="s">
        <v>164</v>
      </c>
      <c r="B26" s="114" t="s">
        <v>161</v>
      </c>
      <c r="C26" s="111">
        <v>5</v>
      </c>
      <c r="D26" s="111">
        <v>4</v>
      </c>
      <c r="E26" s="113">
        <v>1.76</v>
      </c>
      <c r="F26" s="113">
        <v>6.5</v>
      </c>
      <c r="G26" s="115">
        <f>C26*D26*0.47*(44/12)</f>
        <v>34.466666666666661</v>
      </c>
      <c r="H26" s="416"/>
    </row>
    <row r="28" spans="1:17" ht="15" thickBot="1" x14ac:dyDescent="0.4"/>
    <row r="29" spans="1:17" ht="29" thickBot="1" x14ac:dyDescent="0.4">
      <c r="A29" s="496" t="s">
        <v>165</v>
      </c>
      <c r="B29" s="497"/>
      <c r="C29" s="497"/>
      <c r="D29" s="497"/>
      <c r="E29" s="498"/>
      <c r="F29" s="117"/>
      <c r="G29" s="117"/>
      <c r="H29" s="117"/>
      <c r="I29" s="117"/>
      <c r="J29" s="117"/>
      <c r="K29" s="117"/>
    </row>
    <row r="30" spans="1:17" ht="32.25" customHeight="1" thickBot="1" x14ac:dyDescent="0.4">
      <c r="A30" s="122" t="s">
        <v>166</v>
      </c>
      <c r="B30" s="123" t="s">
        <v>168</v>
      </c>
      <c r="C30" s="123" t="s">
        <v>167</v>
      </c>
      <c r="D30" s="123" t="s">
        <v>144</v>
      </c>
      <c r="E30" s="124" t="s">
        <v>143</v>
      </c>
      <c r="F30" s="124" t="s">
        <v>169</v>
      </c>
      <c r="G30" s="124" t="s">
        <v>129</v>
      </c>
      <c r="H30" s="124" t="s">
        <v>130</v>
      </c>
      <c r="I30" s="482" t="s">
        <v>137</v>
      </c>
      <c r="J30" s="483"/>
      <c r="K30" s="121" t="s">
        <v>47</v>
      </c>
      <c r="L30" s="118"/>
    </row>
    <row r="31" spans="1:17" ht="15" thickBot="1" x14ac:dyDescent="0.4">
      <c r="A31" s="125"/>
      <c r="B31" s="493" t="s">
        <v>5</v>
      </c>
      <c r="C31" s="493"/>
      <c r="D31" s="493"/>
      <c r="E31" s="126"/>
      <c r="F31" s="126" t="s">
        <v>132</v>
      </c>
      <c r="G31" s="126" t="s">
        <v>133</v>
      </c>
      <c r="H31" s="126" t="s">
        <v>4</v>
      </c>
      <c r="I31" s="126" t="s">
        <v>134</v>
      </c>
      <c r="J31" s="138" t="s">
        <v>146</v>
      </c>
      <c r="K31" s="90" t="s">
        <v>170</v>
      </c>
      <c r="L31" s="119"/>
    </row>
    <row r="32" spans="1:17" x14ac:dyDescent="0.35">
      <c r="A32" s="127" t="s">
        <v>145</v>
      </c>
      <c r="B32" s="128">
        <v>10000</v>
      </c>
      <c r="C32" s="129">
        <v>0.05</v>
      </c>
      <c r="D32" s="130">
        <v>1.5</v>
      </c>
      <c r="E32" s="131">
        <v>16</v>
      </c>
      <c r="F32" s="132">
        <f>B32/1000</f>
        <v>10</v>
      </c>
      <c r="G32" s="133">
        <v>1</v>
      </c>
      <c r="H32" s="132">
        <f>B32/E32</f>
        <v>625</v>
      </c>
      <c r="I32" s="139">
        <f>((((POWER(C32,2))*0.7854*D32*0.4*1.3)*0.5*3.67))*1000</f>
        <v>2.8103575500000018</v>
      </c>
      <c r="J32" s="140">
        <f>((I32*E32*F32)/B32)</f>
        <v>4.4965720800000032E-2</v>
      </c>
      <c r="K32" s="414">
        <f>-J33*64</f>
        <v>-2.8778061312000021</v>
      </c>
      <c r="L32" s="120"/>
    </row>
    <row r="33" spans="1:12" x14ac:dyDescent="0.35">
      <c r="A33" s="125"/>
      <c r="B33" s="134"/>
      <c r="C33" s="134"/>
      <c r="D33" s="134"/>
      <c r="E33" s="135"/>
      <c r="F33" s="136"/>
      <c r="G33" s="137"/>
      <c r="H33" s="137"/>
      <c r="I33" s="141"/>
      <c r="J33" s="140">
        <f>SUM(J32:J32)</f>
        <v>4.4965720800000032E-2</v>
      </c>
      <c r="K33" s="415"/>
      <c r="L33" s="120"/>
    </row>
    <row r="34" spans="1:12" x14ac:dyDescent="0.35">
      <c r="K34" s="415"/>
    </row>
    <row r="35" spans="1:12" ht="15" thickBot="1" x14ac:dyDescent="0.4">
      <c r="K35" s="416"/>
    </row>
  </sheetData>
  <mergeCells count="23">
    <mergeCell ref="A1:E1"/>
    <mergeCell ref="A4:E4"/>
    <mergeCell ref="A13:E13"/>
    <mergeCell ref="A20:E20"/>
    <mergeCell ref="N4:P4"/>
    <mergeCell ref="B5:G6"/>
    <mergeCell ref="H5:M6"/>
    <mergeCell ref="N5:P5"/>
    <mergeCell ref="Q6:Q10"/>
    <mergeCell ref="A7:A8"/>
    <mergeCell ref="B8:D8"/>
    <mergeCell ref="H8:J8"/>
    <mergeCell ref="B31:D31"/>
    <mergeCell ref="I14:L14"/>
    <mergeCell ref="B15:D15"/>
    <mergeCell ref="A29:E29"/>
    <mergeCell ref="K32:K35"/>
    <mergeCell ref="M16:M19"/>
    <mergeCell ref="H23:H26"/>
    <mergeCell ref="I30:J30"/>
    <mergeCell ref="A21:A22"/>
    <mergeCell ref="B21:B22"/>
    <mergeCell ref="E21:F21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22"/>
  <sheetViews>
    <sheetView workbookViewId="0">
      <selection activeCell="E11" sqref="E11"/>
    </sheetView>
  </sheetViews>
  <sheetFormatPr baseColWidth="10" defaultRowHeight="14.5" x14ac:dyDescent="0.35"/>
  <cols>
    <col min="1" max="1" width="44.1796875" customWidth="1"/>
    <col min="2" max="2" width="21.26953125" customWidth="1"/>
    <col min="3" max="3" width="23" customWidth="1"/>
    <col min="4" max="4" width="17" customWidth="1"/>
    <col min="5" max="5" width="15.453125" bestFit="1" customWidth="1"/>
    <col min="6" max="6" width="18.81640625" customWidth="1"/>
    <col min="7" max="7" width="16.7265625" customWidth="1"/>
    <col min="8" max="8" width="13.7265625" customWidth="1"/>
    <col min="31" max="31" width="33.1796875" bestFit="1" customWidth="1"/>
  </cols>
  <sheetData>
    <row r="1" spans="1:9" ht="29.25" thickBot="1" x14ac:dyDescent="0.5">
      <c r="A1" s="511" t="s">
        <v>205</v>
      </c>
      <c r="B1" s="512"/>
      <c r="C1" s="513"/>
      <c r="D1" s="516"/>
      <c r="E1" s="516"/>
      <c r="F1" s="516"/>
      <c r="G1" s="516"/>
      <c r="H1" s="516"/>
      <c r="I1" s="12"/>
    </row>
    <row r="2" spans="1:9" ht="15" x14ac:dyDescent="0.25">
      <c r="A2" s="155"/>
      <c r="B2" s="8"/>
      <c r="C2" s="156"/>
      <c r="D2" s="142"/>
      <c r="E2" s="142"/>
      <c r="F2" s="142"/>
      <c r="G2" s="142"/>
      <c r="H2" s="142"/>
    </row>
    <row r="3" spans="1:9" ht="21" x14ac:dyDescent="0.5">
      <c r="A3" s="145" t="s">
        <v>7</v>
      </c>
      <c r="B3" s="154" t="s">
        <v>69</v>
      </c>
      <c r="C3" s="146" t="s">
        <v>9</v>
      </c>
      <c r="D3" s="2"/>
      <c r="E3" s="2"/>
      <c r="F3" s="2"/>
      <c r="G3" s="2"/>
      <c r="H3" s="73"/>
    </row>
    <row r="4" spans="1:9" x14ac:dyDescent="0.35">
      <c r="A4" s="143" t="s">
        <v>193</v>
      </c>
      <c r="B4" s="9">
        <f>+Emisiones!AD7</f>
        <v>75.569382545488978</v>
      </c>
      <c r="C4" s="147">
        <f>B4/$B$13</f>
        <v>0.45714349921444264</v>
      </c>
      <c r="D4" s="73"/>
      <c r="E4" s="73"/>
      <c r="F4" s="73"/>
      <c r="G4" s="73"/>
      <c r="H4" s="73"/>
    </row>
    <row r="5" spans="1:9" ht="15" x14ac:dyDescent="0.25">
      <c r="A5" s="143" t="s">
        <v>204</v>
      </c>
      <c r="B5" s="9">
        <f>+Emisiones!I21</f>
        <v>0.88796399999999998</v>
      </c>
      <c r="C5" s="147">
        <f t="shared" ref="C5:C12" si="0">B5/$B$13</f>
        <v>5.3715798179521405E-3</v>
      </c>
      <c r="D5" s="73"/>
      <c r="E5" s="2"/>
      <c r="F5" s="73"/>
      <c r="G5" s="73"/>
      <c r="H5" s="73"/>
    </row>
    <row r="6" spans="1:9" ht="15" x14ac:dyDescent="0.25">
      <c r="A6" s="143" t="s">
        <v>195</v>
      </c>
      <c r="B6" s="9">
        <f>+Emisiones!H33</f>
        <v>9.1139999999999999E-2</v>
      </c>
      <c r="C6" s="147">
        <f t="shared" si="0"/>
        <v>5.5133517193057158E-4</v>
      </c>
      <c r="D6" s="73"/>
      <c r="E6" s="2"/>
      <c r="F6" s="73"/>
      <c r="G6" s="73"/>
      <c r="H6" s="73"/>
    </row>
    <row r="7" spans="1:9" ht="15" x14ac:dyDescent="0.25">
      <c r="A7" s="143" t="s">
        <v>11</v>
      </c>
      <c r="B7" s="9">
        <f>+Emisiones!H45</f>
        <v>1.5021469950738917</v>
      </c>
      <c r="C7" s="147">
        <f t="shared" si="0"/>
        <v>9.0869702852101764E-3</v>
      </c>
      <c r="D7" s="2"/>
      <c r="E7" s="2"/>
      <c r="F7" s="73"/>
      <c r="G7" s="73"/>
      <c r="H7" s="73"/>
    </row>
    <row r="8" spans="1:9" ht="15" x14ac:dyDescent="0.25">
      <c r="A8" s="143" t="s">
        <v>10</v>
      </c>
      <c r="B8" s="9">
        <f>+Emisiones!E51</f>
        <v>55.509187169106198</v>
      </c>
      <c r="C8" s="147">
        <f t="shared" si="0"/>
        <v>0.33579292573628972</v>
      </c>
      <c r="D8" s="2"/>
      <c r="E8" s="2"/>
      <c r="F8" s="2"/>
      <c r="G8" s="73"/>
      <c r="H8" s="73"/>
    </row>
    <row r="9" spans="1:9" ht="15" x14ac:dyDescent="0.25">
      <c r="A9" s="143" t="s">
        <v>180</v>
      </c>
      <c r="B9" s="9">
        <f>+Emisiones!E57</f>
        <v>12.2424</v>
      </c>
      <c r="C9" s="147">
        <f t="shared" si="0"/>
        <v>7.4058214931345512E-2</v>
      </c>
      <c r="D9" s="2"/>
      <c r="E9" s="2"/>
      <c r="F9" s="2"/>
      <c r="G9" s="73"/>
      <c r="H9" s="73"/>
    </row>
    <row r="10" spans="1:9" ht="15" x14ac:dyDescent="0.25">
      <c r="A10" s="148" t="s">
        <v>12</v>
      </c>
      <c r="B10" s="9">
        <f>+Emisiones!L65</f>
        <v>19.505571428571429</v>
      </c>
      <c r="C10" s="147">
        <f t="shared" si="0"/>
        <v>0.11799547484282942</v>
      </c>
      <c r="D10" s="2"/>
      <c r="E10" s="2"/>
      <c r="F10" s="2"/>
      <c r="G10" s="73"/>
      <c r="H10" s="73"/>
    </row>
    <row r="11" spans="1:9" x14ac:dyDescent="0.35">
      <c r="A11" s="148" t="s">
        <v>213</v>
      </c>
      <c r="B11" s="9">
        <f>+Emisiones!H82</f>
        <v>0</v>
      </c>
      <c r="C11" s="147">
        <f t="shared" si="0"/>
        <v>0</v>
      </c>
      <c r="D11" s="2"/>
      <c r="E11" s="2"/>
      <c r="F11" s="2"/>
      <c r="G11" s="73"/>
      <c r="H11" s="73"/>
    </row>
    <row r="12" spans="1:9" ht="15" x14ac:dyDescent="0.25">
      <c r="A12" s="148" t="s">
        <v>218</v>
      </c>
      <c r="B12" s="9">
        <f>+Emisiones!F90</f>
        <v>0.45989999999999998</v>
      </c>
      <c r="C12" s="147">
        <f t="shared" si="0"/>
        <v>2.7820830104330683E-3</v>
      </c>
      <c r="D12" s="2"/>
      <c r="E12" s="2"/>
      <c r="F12" s="2"/>
      <c r="G12" s="73"/>
      <c r="H12" s="73"/>
    </row>
    <row r="13" spans="1:9" ht="18.75" x14ac:dyDescent="0.3">
      <c r="A13" s="149" t="s">
        <v>6</v>
      </c>
      <c r="B13" s="54">
        <f>SUM(B4:B10)</f>
        <v>165.30779213824047</v>
      </c>
      <c r="C13" s="147">
        <f>B13/$B$13</f>
        <v>1</v>
      </c>
      <c r="D13" s="2"/>
      <c r="E13" s="2"/>
      <c r="F13" s="2"/>
      <c r="G13" s="2"/>
      <c r="H13" s="73"/>
    </row>
    <row r="14" spans="1:9" ht="18.5" x14ac:dyDescent="0.45">
      <c r="A14" s="149" t="s">
        <v>91</v>
      </c>
      <c r="B14" s="527">
        <f>B13/64</f>
        <v>2.5829342521600074</v>
      </c>
      <c r="C14" s="528"/>
      <c r="D14" s="2"/>
      <c r="E14" s="2"/>
      <c r="F14" s="2"/>
      <c r="G14" s="2"/>
      <c r="H14" s="73"/>
    </row>
    <row r="15" spans="1:9" ht="15" x14ac:dyDescent="0.25">
      <c r="A15" s="143"/>
      <c r="B15" s="4"/>
      <c r="C15" s="144"/>
      <c r="D15" s="2"/>
      <c r="E15" s="2"/>
      <c r="F15" s="2"/>
      <c r="G15" s="2"/>
      <c r="H15" s="73"/>
    </row>
    <row r="16" spans="1:9" ht="21" x14ac:dyDescent="0.35">
      <c r="A16" s="145" t="s">
        <v>13</v>
      </c>
      <c r="B16" s="154" t="s">
        <v>8</v>
      </c>
      <c r="C16" s="146" t="s">
        <v>9</v>
      </c>
      <c r="D16" s="2"/>
      <c r="E16" s="2"/>
      <c r="F16" s="2"/>
      <c r="G16" s="2"/>
      <c r="H16" s="73"/>
    </row>
    <row r="17" spans="1:31" ht="15" x14ac:dyDescent="0.25">
      <c r="A17" s="143" t="s">
        <v>14</v>
      </c>
      <c r="B17" s="9">
        <f>+Capturas!Q6</f>
        <v>-893.50375581538481</v>
      </c>
      <c r="C17" s="147">
        <f t="shared" ref="C17:C20" si="1">B17/$B$21</f>
        <v>0.93153408482135835</v>
      </c>
      <c r="D17" s="2"/>
      <c r="E17" s="2"/>
      <c r="F17" s="73"/>
      <c r="G17" s="2"/>
      <c r="H17" s="73"/>
    </row>
    <row r="18" spans="1:31" ht="15" x14ac:dyDescent="0.25">
      <c r="A18" s="143" t="s">
        <v>15</v>
      </c>
      <c r="B18" s="9">
        <f>+Capturas!M16</f>
        <v>-17.986288320000014</v>
      </c>
      <c r="C18" s="147">
        <f t="shared" si="1"/>
        <v>1.8751841299440686E-2</v>
      </c>
      <c r="D18" s="2"/>
      <c r="E18" s="2"/>
      <c r="F18" s="73"/>
      <c r="G18" s="2"/>
      <c r="H18" s="73"/>
    </row>
    <row r="19" spans="1:31" ht="15" x14ac:dyDescent="0.25">
      <c r="A19" s="143" t="s">
        <v>16</v>
      </c>
      <c r="B19" s="9">
        <f>+Capturas!H23</f>
        <v>-44.806666666666658</v>
      </c>
      <c r="C19" s="147">
        <f t="shared" si="1"/>
        <v>4.6713779271290563E-2</v>
      </c>
      <c r="D19" s="2"/>
      <c r="E19" s="2"/>
      <c r="F19" s="73"/>
      <c r="G19" s="2"/>
      <c r="H19" s="73"/>
    </row>
    <row r="20" spans="1:31" ht="15" x14ac:dyDescent="0.25">
      <c r="A20" s="148" t="s">
        <v>17</v>
      </c>
      <c r="B20" s="10">
        <f>+Capturas!K32</f>
        <v>-2.8778061312000021</v>
      </c>
      <c r="C20" s="147">
        <f t="shared" si="1"/>
        <v>3.0002946079105098E-3</v>
      </c>
      <c r="D20" s="2"/>
      <c r="E20" s="2"/>
      <c r="F20" s="73"/>
      <c r="G20" s="2"/>
      <c r="H20" s="73"/>
    </row>
    <row r="21" spans="1:31" ht="18.75" x14ac:dyDescent="0.3">
      <c r="A21" s="149" t="s">
        <v>6</v>
      </c>
      <c r="B21" s="54">
        <f>SUM(B17:B20)</f>
        <v>-959.17451693325143</v>
      </c>
      <c r="C21" s="147">
        <f>B21/$B$21</f>
        <v>1</v>
      </c>
      <c r="D21" s="2"/>
      <c r="E21" s="2"/>
      <c r="F21" s="2"/>
      <c r="G21" s="2"/>
      <c r="H21" s="73"/>
    </row>
    <row r="22" spans="1:31" ht="18.5" x14ac:dyDescent="0.45">
      <c r="A22" s="149" t="s">
        <v>123</v>
      </c>
      <c r="B22" s="527">
        <f>B21/86</f>
        <v>-11.153192057363389</v>
      </c>
      <c r="C22" s="528"/>
      <c r="D22" s="2"/>
      <c r="E22" s="2"/>
      <c r="F22" s="2"/>
      <c r="G22" s="2"/>
      <c r="H22" s="73"/>
    </row>
    <row r="23" spans="1:31" x14ac:dyDescent="0.35">
      <c r="A23" s="150"/>
      <c r="B23" s="2"/>
      <c r="C23" s="35"/>
      <c r="D23" s="2"/>
      <c r="E23" s="2"/>
      <c r="F23" s="2"/>
      <c r="G23" s="2"/>
      <c r="H23" s="73"/>
    </row>
    <row r="24" spans="1:31" ht="21.5" thickBot="1" x14ac:dyDescent="0.55000000000000004">
      <c r="A24" s="151" t="s">
        <v>124</v>
      </c>
      <c r="B24" s="152">
        <f>B14+(B22)</f>
        <v>-8.5702578052033829</v>
      </c>
      <c r="C24" s="153"/>
      <c r="D24" s="2"/>
      <c r="E24" s="2"/>
      <c r="F24" s="2"/>
      <c r="G24" s="2"/>
      <c r="H24" s="73"/>
    </row>
    <row r="25" spans="1:31" x14ac:dyDescent="0.35">
      <c r="A25" s="47"/>
      <c r="B25" s="2"/>
      <c r="C25" s="2"/>
      <c r="D25" s="2"/>
      <c r="E25" s="2"/>
      <c r="F25" s="2"/>
      <c r="G25" s="2"/>
    </row>
    <row r="26" spans="1:31" ht="31" x14ac:dyDescent="0.7">
      <c r="A26" s="206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</row>
    <row r="27" spans="1:31" x14ac:dyDescent="0.3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</row>
    <row r="28" spans="1:31" ht="28.5" x14ac:dyDescent="0.35">
      <c r="A28" s="436"/>
      <c r="B28" s="436"/>
      <c r="C28" s="436"/>
      <c r="D28" s="43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1" ht="28.5" x14ac:dyDescent="0.6">
      <c r="A29" s="514"/>
      <c r="B29" s="514"/>
      <c r="C29" s="514"/>
      <c r="D29" s="514"/>
      <c r="E29" s="515"/>
      <c r="F29" s="515"/>
      <c r="G29" s="515"/>
      <c r="H29" s="311"/>
      <c r="I29" s="515"/>
      <c r="J29" s="515"/>
      <c r="K29" s="522"/>
      <c r="L29" s="522"/>
      <c r="M29" s="522"/>
      <c r="N29" s="522"/>
      <c r="O29" s="522"/>
      <c r="P29" s="522"/>
      <c r="Q29" s="523"/>
      <c r="R29" s="523"/>
      <c r="S29" s="523"/>
      <c r="T29" s="524"/>
      <c r="U29" s="525"/>
      <c r="V29" s="526"/>
      <c r="W29" s="526"/>
      <c r="X29" s="526"/>
      <c r="Y29" s="520"/>
      <c r="Z29" s="520"/>
      <c r="AA29" s="520"/>
      <c r="AB29" s="520"/>
      <c r="AC29" s="521"/>
      <c r="AD29" s="521"/>
      <c r="AE29" s="505"/>
    </row>
    <row r="30" spans="1:31" x14ac:dyDescent="0.35">
      <c r="A30" s="506"/>
      <c r="B30" s="220"/>
      <c r="C30" s="220"/>
      <c r="D30" s="220"/>
      <c r="E30" s="220"/>
      <c r="F30" s="220"/>
      <c r="G30" s="220"/>
      <c r="H30" s="220"/>
      <c r="I30" s="231"/>
      <c r="J30" s="220"/>
      <c r="K30" s="507"/>
      <c r="L30" s="507"/>
      <c r="M30" s="507"/>
      <c r="N30" s="507"/>
      <c r="O30" s="508"/>
      <c r="P30" s="508"/>
      <c r="Q30" s="312"/>
      <c r="R30" s="312"/>
      <c r="S30" s="312"/>
      <c r="T30" s="524"/>
      <c r="U30" s="525"/>
      <c r="V30" s="220"/>
      <c r="W30" s="220"/>
      <c r="X30" s="220"/>
      <c r="Y30" s="312"/>
      <c r="Z30" s="312"/>
      <c r="AA30" s="312"/>
      <c r="AB30" s="509"/>
      <c r="AC30" s="509"/>
      <c r="AD30" s="219"/>
      <c r="AE30" s="505"/>
    </row>
    <row r="31" spans="1:31" x14ac:dyDescent="0.35">
      <c r="A31" s="506"/>
      <c r="B31" s="220"/>
      <c r="C31" s="220"/>
      <c r="D31" s="220"/>
      <c r="E31" s="506"/>
      <c r="F31" s="506"/>
      <c r="G31" s="220"/>
      <c r="H31" s="220"/>
      <c r="I31" s="220"/>
      <c r="J31" s="220"/>
      <c r="K31" s="220"/>
      <c r="L31" s="220"/>
      <c r="M31" s="220"/>
      <c r="N31" s="220"/>
      <c r="O31" s="219"/>
      <c r="P31" s="219"/>
      <c r="Q31" s="509"/>
      <c r="R31" s="509"/>
      <c r="S31" s="509"/>
      <c r="T31" s="524"/>
      <c r="U31" s="525"/>
      <c r="V31" s="217"/>
      <c r="W31" s="217"/>
      <c r="X31" s="217"/>
      <c r="Y31" s="509"/>
      <c r="Z31" s="509"/>
      <c r="AA31" s="509"/>
      <c r="AB31" s="510"/>
      <c r="AC31" s="510"/>
      <c r="AD31" s="313"/>
      <c r="AE31" s="212"/>
    </row>
    <row r="32" spans="1:31" x14ac:dyDescent="0.35">
      <c r="A32" s="217"/>
      <c r="B32" s="220"/>
      <c r="C32" s="210"/>
      <c r="D32" s="210"/>
      <c r="E32" s="314"/>
      <c r="F32" s="314"/>
      <c r="G32" s="315"/>
      <c r="H32" s="316"/>
      <c r="I32" s="220"/>
      <c r="J32" s="317"/>
      <c r="K32" s="316"/>
      <c r="L32" s="210"/>
      <c r="M32" s="210"/>
      <c r="N32" s="210"/>
      <c r="O32" s="219"/>
      <c r="P32" s="318"/>
      <c r="Q32" s="319"/>
      <c r="R32" s="319"/>
      <c r="S32" s="319"/>
      <c r="T32" s="320"/>
      <c r="U32" s="321"/>
      <c r="V32" s="316"/>
      <c r="W32" s="316"/>
      <c r="X32" s="221"/>
      <c r="Y32" s="317"/>
      <c r="Z32" s="317"/>
      <c r="AA32" s="322"/>
      <c r="AB32" s="210"/>
      <c r="AC32" s="323"/>
      <c r="AD32" s="519"/>
      <c r="AE32" s="324"/>
    </row>
    <row r="33" spans="1:31" x14ac:dyDescent="0.35">
      <c r="A33" s="217"/>
      <c r="B33" s="265"/>
      <c r="C33" s="210"/>
      <c r="D33" s="210"/>
      <c r="E33" s="314"/>
      <c r="F33" s="314"/>
      <c r="G33" s="315"/>
      <c r="H33" s="316"/>
      <c r="I33" s="220"/>
      <c r="J33" s="317"/>
      <c r="K33" s="316"/>
      <c r="L33" s="210"/>
      <c r="M33" s="210"/>
      <c r="N33" s="210"/>
      <c r="O33" s="219"/>
      <c r="P33" s="318"/>
      <c r="Q33" s="319"/>
      <c r="R33" s="319"/>
      <c r="S33" s="319"/>
      <c r="T33" s="320"/>
      <c r="U33" s="321"/>
      <c r="V33" s="316"/>
      <c r="W33" s="316"/>
      <c r="X33" s="221"/>
      <c r="Y33" s="317"/>
      <c r="Z33" s="317"/>
      <c r="AA33" s="322"/>
      <c r="AB33" s="210"/>
      <c r="AC33" s="323"/>
      <c r="AD33" s="519"/>
      <c r="AE33" s="324"/>
    </row>
    <row r="34" spans="1:31" x14ac:dyDescent="0.35">
      <c r="A34" s="217"/>
      <c r="B34" s="220"/>
      <c r="C34" s="210"/>
      <c r="D34" s="210"/>
      <c r="E34" s="314"/>
      <c r="F34" s="314"/>
      <c r="G34" s="315"/>
      <c r="H34" s="316"/>
      <c r="I34" s="220"/>
      <c r="J34" s="317"/>
      <c r="K34" s="316"/>
      <c r="L34" s="210"/>
      <c r="M34" s="210"/>
      <c r="N34" s="210"/>
      <c r="O34" s="219"/>
      <c r="P34" s="318"/>
      <c r="Q34" s="319"/>
      <c r="R34" s="319"/>
      <c r="S34" s="319"/>
      <c r="T34" s="320"/>
      <c r="U34" s="321"/>
      <c r="V34" s="316"/>
      <c r="W34" s="316"/>
      <c r="X34" s="221"/>
      <c r="Y34" s="317"/>
      <c r="Z34" s="317"/>
      <c r="AA34" s="322"/>
      <c r="AB34" s="210"/>
      <c r="AC34" s="323"/>
      <c r="AD34" s="519"/>
      <c r="AE34" s="324"/>
    </row>
    <row r="35" spans="1:31" ht="3.75" customHeight="1" x14ac:dyDescent="0.35">
      <c r="A35" s="217"/>
      <c r="B35" s="217"/>
      <c r="C35" s="217"/>
      <c r="D35" s="217"/>
      <c r="E35" s="217"/>
      <c r="F35" s="217"/>
      <c r="G35" s="310"/>
      <c r="H35" s="325"/>
      <c r="I35" s="217"/>
      <c r="J35" s="322"/>
      <c r="K35" s="201"/>
      <c r="L35" s="201"/>
      <c r="M35" s="201"/>
      <c r="N35" s="201"/>
      <c r="O35" s="326"/>
      <c r="P35" s="326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312"/>
      <c r="AC35" s="312"/>
      <c r="AD35" s="519"/>
      <c r="AE35" s="324"/>
    </row>
    <row r="36" spans="1:31" x14ac:dyDescent="0.35">
      <c r="A36" s="217"/>
      <c r="B36" s="220"/>
      <c r="C36" s="210"/>
      <c r="D36" s="210"/>
      <c r="E36" s="314"/>
      <c r="F36" s="314"/>
      <c r="G36" s="315"/>
      <c r="H36" s="316"/>
      <c r="I36" s="220"/>
      <c r="J36" s="317"/>
      <c r="K36" s="316"/>
      <c r="L36" s="210"/>
      <c r="M36" s="210"/>
      <c r="N36" s="210"/>
      <c r="O36" s="219"/>
      <c r="P36" s="318"/>
      <c r="Q36" s="319"/>
      <c r="R36" s="319"/>
      <c r="S36" s="319"/>
      <c r="T36" s="320"/>
      <c r="U36" s="321"/>
      <c r="V36" s="316"/>
      <c r="W36" s="316"/>
      <c r="X36" s="221"/>
      <c r="Y36" s="317"/>
      <c r="Z36" s="317"/>
      <c r="AA36" s="322"/>
      <c r="AB36" s="210"/>
      <c r="AC36" s="323"/>
      <c r="AD36" s="519"/>
      <c r="AE36" s="324"/>
    </row>
    <row r="37" spans="1:31" x14ac:dyDescent="0.35">
      <c r="A37" s="217"/>
      <c r="B37" s="265"/>
      <c r="C37" s="210"/>
      <c r="D37" s="210"/>
      <c r="E37" s="314"/>
      <c r="F37" s="314"/>
      <c r="G37" s="315"/>
      <c r="H37" s="316"/>
      <c r="I37" s="220"/>
      <c r="J37" s="317"/>
      <c r="K37" s="316"/>
      <c r="L37" s="210"/>
      <c r="M37" s="210"/>
      <c r="N37" s="210"/>
      <c r="O37" s="219"/>
      <c r="P37" s="318"/>
      <c r="Q37" s="319"/>
      <c r="R37" s="319"/>
      <c r="S37" s="319"/>
      <c r="T37" s="320"/>
      <c r="U37" s="321"/>
      <c r="V37" s="316"/>
      <c r="W37" s="316"/>
      <c r="X37" s="221"/>
      <c r="Y37" s="317"/>
      <c r="Z37" s="317"/>
      <c r="AA37" s="322"/>
      <c r="AB37" s="210"/>
      <c r="AC37" s="323"/>
      <c r="AD37" s="519"/>
      <c r="AE37" s="324"/>
    </row>
    <row r="38" spans="1:31" x14ac:dyDescent="0.35">
      <c r="A38" s="217"/>
      <c r="B38" s="220"/>
      <c r="C38" s="210"/>
      <c r="D38" s="210"/>
      <c r="E38" s="314"/>
      <c r="F38" s="314"/>
      <c r="G38" s="315"/>
      <c r="H38" s="316"/>
      <c r="I38" s="220"/>
      <c r="J38" s="317"/>
      <c r="K38" s="316"/>
      <c r="L38" s="210"/>
      <c r="M38" s="210"/>
      <c r="N38" s="210"/>
      <c r="O38" s="219"/>
      <c r="P38" s="318"/>
      <c r="Q38" s="319"/>
      <c r="R38" s="319"/>
      <c r="S38" s="319"/>
      <c r="T38" s="320"/>
      <c r="U38" s="321"/>
      <c r="V38" s="316"/>
      <c r="W38" s="316"/>
      <c r="X38" s="221"/>
      <c r="Y38" s="317"/>
      <c r="Z38" s="317"/>
      <c r="AA38" s="322"/>
      <c r="AB38" s="210"/>
      <c r="AC38" s="323"/>
      <c r="AD38" s="519"/>
      <c r="AE38" s="324"/>
    </row>
    <row r="39" spans="1:31" x14ac:dyDescent="0.35">
      <c r="A39" s="217"/>
      <c r="B39" s="220"/>
      <c r="C39" s="220"/>
      <c r="D39" s="220"/>
      <c r="E39" s="47"/>
      <c r="F39" s="47"/>
      <c r="G39" s="321"/>
      <c r="H39" s="47"/>
      <c r="I39" s="47"/>
      <c r="J39" s="47"/>
      <c r="K39" s="47"/>
      <c r="L39" s="47"/>
      <c r="M39" s="327"/>
      <c r="N39" s="328"/>
      <c r="O39" s="47"/>
      <c r="P39" s="321"/>
      <c r="Q39" s="321"/>
      <c r="R39" s="321"/>
      <c r="S39" s="321"/>
      <c r="T39" s="321"/>
      <c r="U39" s="321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1:31" x14ac:dyDescent="0.3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1:31" x14ac:dyDescent="0.3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</row>
    <row r="42" spans="1:31" ht="15" customHeight="1" x14ac:dyDescent="0.3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</row>
    <row r="43" spans="1:31" ht="28.5" x14ac:dyDescent="0.35">
      <c r="A43" s="436"/>
      <c r="B43" s="436"/>
      <c r="C43" s="436"/>
      <c r="D43" s="43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</row>
    <row r="44" spans="1:31" ht="28.5" x14ac:dyDescent="0.35">
      <c r="A44" s="514"/>
      <c r="B44" s="514"/>
      <c r="C44" s="514"/>
      <c r="D44" s="514"/>
      <c r="E44" s="47"/>
      <c r="F44" s="47"/>
      <c r="G44" s="47"/>
      <c r="H44" s="47"/>
      <c r="I44" s="219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</row>
    <row r="45" spans="1:31" x14ac:dyDescent="0.35">
      <c r="A45" s="506"/>
      <c r="B45" s="220"/>
      <c r="C45" s="220"/>
      <c r="D45" s="220"/>
      <c r="E45" s="220"/>
      <c r="F45" s="329"/>
      <c r="G45" s="517"/>
      <c r="H45" s="51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</row>
    <row r="46" spans="1:31" ht="15.75" customHeight="1" x14ac:dyDescent="0.35">
      <c r="A46" s="506"/>
      <c r="B46" s="220"/>
      <c r="C46" s="220"/>
      <c r="D46" s="220"/>
      <c r="E46" s="220"/>
      <c r="F46" s="518"/>
      <c r="G46" s="518"/>
      <c r="H46" s="329"/>
      <c r="I46" s="519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</row>
    <row r="47" spans="1:31" x14ac:dyDescent="0.35">
      <c r="A47" s="217"/>
      <c r="B47" s="220"/>
      <c r="C47" s="210"/>
      <c r="D47" s="210"/>
      <c r="E47" s="269"/>
      <c r="F47" s="47"/>
      <c r="G47" s="47"/>
      <c r="H47" s="47"/>
      <c r="I47" s="519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x14ac:dyDescent="0.35">
      <c r="A48" s="217"/>
      <c r="B48" s="265"/>
      <c r="C48" s="210"/>
      <c r="D48" s="210"/>
      <c r="E48" s="269"/>
      <c r="F48" s="47"/>
      <c r="G48" s="47"/>
      <c r="H48" s="47"/>
      <c r="I48" s="519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x14ac:dyDescent="0.35">
      <c r="A49" s="217"/>
      <c r="B49" s="220"/>
      <c r="C49" s="210"/>
      <c r="D49" s="210"/>
      <c r="E49" s="269"/>
      <c r="F49" s="47"/>
      <c r="G49" s="47"/>
      <c r="H49" s="47"/>
      <c r="I49" s="519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</row>
    <row r="50" spans="1:31" ht="3.75" customHeight="1" x14ac:dyDescent="0.35">
      <c r="A50" s="217"/>
      <c r="B50" s="217"/>
      <c r="C50" s="217"/>
      <c r="D50" s="217"/>
      <c r="E50" s="217"/>
      <c r="F50" s="217"/>
      <c r="G50" s="217"/>
      <c r="H50" s="217"/>
      <c r="I50" s="519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</row>
    <row r="51" spans="1:31" x14ac:dyDescent="0.35">
      <c r="A51" s="217"/>
      <c r="B51" s="220"/>
      <c r="C51" s="210"/>
      <c r="D51" s="210"/>
      <c r="E51" s="266"/>
      <c r="F51" s="47"/>
      <c r="G51" s="47"/>
      <c r="H51" s="47"/>
      <c r="I51" s="519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</row>
    <row r="52" spans="1:31" x14ac:dyDescent="0.35">
      <c r="A52" s="217"/>
      <c r="B52" s="265"/>
      <c r="C52" s="210"/>
      <c r="D52" s="210"/>
      <c r="E52" s="266"/>
      <c r="F52" s="47"/>
      <c r="G52" s="47"/>
      <c r="H52" s="47"/>
      <c r="I52" s="519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</row>
    <row r="53" spans="1:31" x14ac:dyDescent="0.35">
      <c r="A53" s="217"/>
      <c r="B53" s="220"/>
      <c r="C53" s="210"/>
      <c r="D53" s="210"/>
      <c r="E53" s="266"/>
      <c r="F53" s="47"/>
      <c r="G53" s="47"/>
      <c r="H53" s="47"/>
      <c r="I53" s="519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</row>
    <row r="54" spans="1:31" x14ac:dyDescent="0.35">
      <c r="A54" s="217"/>
      <c r="B54" s="220"/>
      <c r="C54" s="220"/>
      <c r="D54" s="220"/>
      <c r="E54" s="47"/>
      <c r="F54" s="47"/>
      <c r="G54" s="47"/>
      <c r="H54" s="47"/>
      <c r="I54" s="519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</row>
    <row r="55" spans="1:31" x14ac:dyDescent="0.3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</row>
    <row r="56" spans="1:31" x14ac:dyDescent="0.3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</row>
    <row r="57" spans="1:31" ht="28.5" x14ac:dyDescent="0.35">
      <c r="A57" s="436"/>
      <c r="B57" s="436"/>
      <c r="C57" s="436"/>
      <c r="D57" s="436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</row>
    <row r="58" spans="1:31" ht="18.5" x14ac:dyDescent="0.45">
      <c r="A58" s="47"/>
      <c r="B58" s="330"/>
      <c r="C58" s="47"/>
      <c r="D58" s="47"/>
      <c r="E58" s="532"/>
      <c r="F58" s="532"/>
      <c r="G58" s="331"/>
      <c r="H58" s="219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</row>
    <row r="59" spans="1:31" ht="18.5" x14ac:dyDescent="0.45">
      <c r="A59" s="47"/>
      <c r="B59" s="332"/>
      <c r="C59" s="47"/>
      <c r="D59" s="47"/>
      <c r="E59" s="532"/>
      <c r="F59" s="532"/>
      <c r="G59" s="331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</row>
    <row r="60" spans="1:31" ht="18.75" customHeight="1" x14ac:dyDescent="0.45">
      <c r="A60" s="47"/>
      <c r="B60" s="333"/>
      <c r="C60" s="334"/>
      <c r="D60" s="332"/>
      <c r="E60" s="532"/>
      <c r="F60" s="532"/>
      <c r="G60" s="331"/>
      <c r="H60" s="435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</row>
    <row r="61" spans="1:31" ht="18.5" x14ac:dyDescent="0.45">
      <c r="A61" s="47"/>
      <c r="B61" s="334"/>
      <c r="C61" s="47"/>
      <c r="D61" s="332"/>
      <c r="E61" s="532"/>
      <c r="F61" s="532"/>
      <c r="G61" s="331"/>
      <c r="H61" s="435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1:31" ht="33" customHeight="1" x14ac:dyDescent="0.35">
      <c r="A62" s="47"/>
      <c r="B62" s="47"/>
      <c r="C62" s="47"/>
      <c r="D62" s="332"/>
      <c r="E62" s="47"/>
      <c r="F62" s="47"/>
      <c r="G62" s="47"/>
      <c r="H62" s="435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</row>
    <row r="63" spans="1:31" x14ac:dyDescent="0.35">
      <c r="A63" s="47"/>
      <c r="B63" s="47"/>
      <c r="C63" s="47"/>
      <c r="D63" s="47"/>
      <c r="E63" s="47"/>
      <c r="F63" s="47"/>
      <c r="G63" s="47"/>
      <c r="H63" s="53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</row>
    <row r="64" spans="1:31" x14ac:dyDescent="0.35">
      <c r="A64" s="47"/>
      <c r="B64" s="47"/>
      <c r="C64" s="47"/>
      <c r="D64" s="47"/>
      <c r="E64" s="47"/>
      <c r="F64" s="47"/>
      <c r="G64" s="47"/>
      <c r="H64" s="53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</row>
    <row r="65" spans="1:31" ht="28.5" x14ac:dyDescent="0.35">
      <c r="A65" s="436"/>
      <c r="B65" s="436"/>
      <c r="C65" s="436"/>
      <c r="D65" s="436"/>
      <c r="E65" s="219"/>
      <c r="F65" s="47"/>
      <c r="G65" s="47"/>
      <c r="H65" s="53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</row>
    <row r="66" spans="1:31" x14ac:dyDescent="0.35">
      <c r="A66" s="47"/>
      <c r="B66" s="330"/>
      <c r="C66" s="335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</row>
    <row r="67" spans="1:31" ht="15" customHeight="1" x14ac:dyDescent="0.35">
      <c r="A67" s="47"/>
      <c r="B67" s="330"/>
      <c r="C67" s="47"/>
      <c r="D67" s="47"/>
      <c r="E67" s="435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</row>
    <row r="68" spans="1:31" x14ac:dyDescent="0.35">
      <c r="A68" s="47"/>
      <c r="B68" s="330"/>
      <c r="C68" s="334"/>
      <c r="D68" s="336"/>
      <c r="E68" s="435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</row>
    <row r="69" spans="1:31" x14ac:dyDescent="0.35">
      <c r="A69" s="47"/>
      <c r="B69" s="334"/>
      <c r="C69" s="47"/>
      <c r="D69" s="336"/>
      <c r="E69" s="435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</row>
    <row r="70" spans="1:31" x14ac:dyDescent="0.35">
      <c r="A70" s="47"/>
      <c r="B70" s="47"/>
      <c r="C70" s="47"/>
      <c r="D70" s="336"/>
      <c r="E70" s="435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</row>
    <row r="71" spans="1:31" x14ac:dyDescent="0.3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</row>
    <row r="72" spans="1:31" x14ac:dyDescent="0.3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</row>
    <row r="73" spans="1:31" ht="28.5" x14ac:dyDescent="0.35">
      <c r="A73" s="436"/>
      <c r="B73" s="436"/>
      <c r="C73" s="436"/>
      <c r="D73" s="436"/>
      <c r="E73" s="436"/>
      <c r="F73" s="436"/>
      <c r="G73" s="436"/>
      <c r="H73" s="436"/>
      <c r="I73" s="436"/>
      <c r="J73" s="436"/>
      <c r="K73" s="436"/>
      <c r="L73" s="436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</row>
    <row r="74" spans="1:31" x14ac:dyDescent="0.35">
      <c r="A74" s="109"/>
      <c r="B74" s="337"/>
      <c r="C74" s="338"/>
      <c r="D74" s="339"/>
      <c r="E74" s="530"/>
      <c r="F74" s="530"/>
      <c r="G74" s="530"/>
      <c r="H74" s="531"/>
      <c r="I74" s="531"/>
      <c r="J74" s="531"/>
      <c r="K74" s="340"/>
      <c r="L74" s="219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</row>
    <row r="75" spans="1:31" x14ac:dyDescent="0.35">
      <c r="A75" s="109"/>
      <c r="B75" s="337"/>
      <c r="C75" s="338"/>
      <c r="D75" s="341"/>
      <c r="E75" s="228"/>
      <c r="F75" s="228"/>
      <c r="G75" s="228"/>
      <c r="H75" s="340"/>
      <c r="I75" s="228"/>
      <c r="J75" s="340"/>
      <c r="K75" s="342"/>
      <c r="L75" s="109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</row>
    <row r="76" spans="1:31" x14ac:dyDescent="0.35">
      <c r="A76" s="109"/>
      <c r="B76" s="110"/>
      <c r="C76" s="343"/>
      <c r="D76" s="344"/>
      <c r="E76" s="345"/>
      <c r="F76" s="346"/>
      <c r="G76" s="347"/>
      <c r="H76" s="348"/>
      <c r="I76" s="349"/>
      <c r="J76" s="349"/>
      <c r="K76" s="350"/>
      <c r="L76" s="435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</row>
    <row r="77" spans="1:31" x14ac:dyDescent="0.35">
      <c r="A77" s="295"/>
      <c r="B77" s="351"/>
      <c r="C77" s="343"/>
      <c r="D77" s="344"/>
      <c r="E77" s="345"/>
      <c r="F77" s="346"/>
      <c r="G77" s="347"/>
      <c r="H77" s="348"/>
      <c r="I77" s="349"/>
      <c r="J77" s="349"/>
      <c r="K77" s="350"/>
      <c r="L77" s="435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</row>
    <row r="78" spans="1:31" x14ac:dyDescent="0.35">
      <c r="A78" s="109"/>
      <c r="B78" s="337"/>
      <c r="C78" s="109"/>
      <c r="D78" s="109"/>
      <c r="E78" s="109"/>
      <c r="F78" s="109"/>
      <c r="G78" s="109"/>
      <c r="H78" s="110"/>
      <c r="I78" s="55"/>
      <c r="J78" s="109"/>
      <c r="K78" s="109"/>
      <c r="L78" s="435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</row>
    <row r="79" spans="1:31" x14ac:dyDescent="0.35">
      <c r="A79" s="109"/>
      <c r="B79" s="110"/>
      <c r="C79" s="109"/>
      <c r="D79" s="109"/>
      <c r="E79" s="109"/>
      <c r="F79" s="109"/>
      <c r="G79" s="109"/>
      <c r="H79" s="110"/>
      <c r="I79" s="55"/>
      <c r="J79" s="109"/>
      <c r="K79" s="109"/>
      <c r="L79" s="435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</row>
    <row r="80" spans="1:31" x14ac:dyDescent="0.35">
      <c r="A80" s="295"/>
      <c r="B80" s="351"/>
      <c r="C80" s="202"/>
      <c r="D80" s="201"/>
      <c r="E80" s="201"/>
      <c r="F80" s="201"/>
      <c r="G80" s="201"/>
      <c r="H80" s="201"/>
      <c r="I80" s="201"/>
      <c r="J80" s="109"/>
      <c r="K80" s="109"/>
      <c r="L80" s="109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</row>
    <row r="81" spans="1:31" x14ac:dyDescent="0.35">
      <c r="A81" s="109"/>
      <c r="B81" s="110"/>
      <c r="C81" s="203"/>
      <c r="D81" s="201"/>
      <c r="E81" s="201"/>
      <c r="F81" s="201"/>
      <c r="G81" s="201"/>
      <c r="H81" s="201"/>
      <c r="I81" s="201"/>
      <c r="J81" s="109"/>
      <c r="K81" s="109"/>
      <c r="L81" s="109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</row>
    <row r="82" spans="1:31" x14ac:dyDescent="0.35">
      <c r="A82" s="352"/>
      <c r="B82" s="353"/>
      <c r="C82" s="109"/>
      <c r="D82" s="109"/>
      <c r="E82" s="109"/>
      <c r="F82" s="109"/>
      <c r="G82" s="109"/>
      <c r="H82" s="110"/>
      <c r="I82" s="55"/>
      <c r="J82" s="109"/>
      <c r="K82" s="109"/>
      <c r="L82" s="109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</row>
    <row r="83" spans="1:31" x14ac:dyDescent="0.35">
      <c r="A83" s="109"/>
      <c r="B83" s="353"/>
      <c r="C83" s="109"/>
      <c r="D83" s="109"/>
      <c r="E83" s="109"/>
      <c r="F83" s="109"/>
      <c r="G83" s="109"/>
      <c r="H83" s="110"/>
      <c r="I83" s="55"/>
      <c r="J83" s="109"/>
      <c r="K83" s="109"/>
      <c r="L83" s="109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</row>
    <row r="84" spans="1:31" x14ac:dyDescent="0.3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</row>
    <row r="85" spans="1:31" x14ac:dyDescent="0.3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  <row r="86" spans="1:31" x14ac:dyDescent="0.3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</row>
    <row r="87" spans="1:31" ht="31" x14ac:dyDescent="0.7">
      <c r="A87" s="529"/>
      <c r="B87" s="529"/>
      <c r="C87" s="529"/>
      <c r="D87" s="529"/>
      <c r="E87" s="529"/>
      <c r="F87" s="529"/>
      <c r="G87" s="529"/>
      <c r="H87" s="529"/>
      <c r="I87" s="529"/>
      <c r="J87" s="529"/>
      <c r="K87" s="529"/>
      <c r="L87" s="529"/>
      <c r="M87" s="529"/>
      <c r="N87" s="529"/>
      <c r="O87" s="529"/>
      <c r="P87" s="529"/>
      <c r="Q87" s="529"/>
      <c r="R87" s="529"/>
      <c r="S87" s="529"/>
      <c r="T87" s="529"/>
      <c r="U87" s="529"/>
      <c r="V87" s="529"/>
      <c r="W87" s="529"/>
      <c r="X87" s="529"/>
      <c r="Y87" s="529"/>
      <c r="Z87" s="529"/>
      <c r="AA87" s="529"/>
      <c r="AB87" s="529"/>
      <c r="AC87" s="529"/>
      <c r="AD87" s="529"/>
      <c r="AE87" s="529"/>
    </row>
    <row r="88" spans="1:31" x14ac:dyDescent="0.3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1:31" x14ac:dyDescent="0.3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ht="28.5" x14ac:dyDescent="0.35">
      <c r="A90" s="436"/>
      <c r="B90" s="436"/>
      <c r="C90" s="436"/>
      <c r="D90" s="436"/>
      <c r="E90" s="436"/>
      <c r="F90" s="436"/>
      <c r="G90" s="436"/>
      <c r="H90" s="436"/>
      <c r="I90" s="436"/>
      <c r="J90" s="436"/>
      <c r="K90" s="436"/>
      <c r="L90" s="436"/>
      <c r="M90" s="436"/>
      <c r="N90" s="534"/>
      <c r="O90" s="534"/>
      <c r="P90" s="534"/>
      <c r="Q90" s="219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ht="15.5" x14ac:dyDescent="0.35">
      <c r="A91" s="207"/>
      <c r="B91" s="535"/>
      <c r="C91" s="536"/>
      <c r="D91" s="536"/>
      <c r="E91" s="536"/>
      <c r="F91" s="536"/>
      <c r="G91" s="536"/>
      <c r="H91" s="535"/>
      <c r="I91" s="536"/>
      <c r="J91" s="536"/>
      <c r="K91" s="536"/>
      <c r="L91" s="536"/>
      <c r="M91" s="536"/>
      <c r="N91" s="534"/>
      <c r="O91" s="534"/>
      <c r="P91" s="534"/>
      <c r="Q91" s="109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1:31" ht="15.75" customHeight="1" x14ac:dyDescent="0.35">
      <c r="A92" s="207"/>
      <c r="B92" s="536"/>
      <c r="C92" s="536"/>
      <c r="D92" s="536"/>
      <c r="E92" s="536"/>
      <c r="F92" s="536"/>
      <c r="G92" s="536"/>
      <c r="H92" s="536"/>
      <c r="I92" s="536"/>
      <c r="J92" s="536"/>
      <c r="K92" s="536"/>
      <c r="L92" s="536"/>
      <c r="M92" s="536"/>
      <c r="N92" s="354"/>
      <c r="O92" s="212"/>
      <c r="P92" s="355"/>
      <c r="Q92" s="435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x14ac:dyDescent="0.35">
      <c r="A93" s="537"/>
      <c r="B93" s="209"/>
      <c r="C93" s="210"/>
      <c r="D93" s="210"/>
      <c r="E93" s="211"/>
      <c r="F93" s="211"/>
      <c r="G93" s="211"/>
      <c r="H93" s="209"/>
      <c r="I93" s="210"/>
      <c r="J93" s="210"/>
      <c r="K93" s="212"/>
      <c r="L93" s="212"/>
      <c r="M93" s="212"/>
      <c r="N93" s="354"/>
      <c r="O93" s="212"/>
      <c r="P93" s="356"/>
      <c r="Q93" s="435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 x14ac:dyDescent="0.35">
      <c r="A94" s="537"/>
      <c r="B94" s="509"/>
      <c r="C94" s="509"/>
      <c r="D94" s="509"/>
      <c r="E94" s="212"/>
      <c r="F94" s="212"/>
      <c r="G94" s="212"/>
      <c r="H94" s="509"/>
      <c r="I94" s="509"/>
      <c r="J94" s="509"/>
      <c r="K94" s="212"/>
      <c r="L94" s="212"/>
      <c r="M94" s="212"/>
      <c r="N94" s="354"/>
      <c r="O94" s="212"/>
      <c r="P94" s="356"/>
      <c r="Q94" s="435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1:31" ht="23.25" customHeight="1" x14ac:dyDescent="0.35">
      <c r="A95" s="213"/>
      <c r="B95" s="209"/>
      <c r="C95" s="214"/>
      <c r="D95" s="214"/>
      <c r="E95" s="215"/>
      <c r="F95" s="212"/>
      <c r="G95" s="216"/>
      <c r="H95" s="214"/>
      <c r="I95" s="214"/>
      <c r="J95" s="214"/>
      <c r="K95" s="215"/>
      <c r="L95" s="212"/>
      <c r="M95" s="216"/>
      <c r="N95" s="354"/>
      <c r="O95" s="212"/>
      <c r="P95" s="355"/>
      <c r="Q95" s="435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1:31" ht="21" customHeight="1" x14ac:dyDescent="0.35">
      <c r="A96" s="217"/>
      <c r="B96" s="209"/>
      <c r="C96" s="214"/>
      <c r="D96" s="214"/>
      <c r="E96" s="215"/>
      <c r="F96" s="212"/>
      <c r="G96" s="216"/>
      <c r="H96" s="214"/>
      <c r="I96" s="214"/>
      <c r="J96" s="214"/>
      <c r="K96" s="215"/>
      <c r="L96" s="212"/>
      <c r="M96" s="216"/>
      <c r="N96" s="354"/>
      <c r="O96" s="212"/>
      <c r="P96" s="356"/>
      <c r="Q96" s="435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</row>
    <row r="97" spans="1:31" x14ac:dyDescent="0.3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</row>
    <row r="98" spans="1:31" x14ac:dyDescent="0.3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</row>
    <row r="99" spans="1:31" ht="28.5" x14ac:dyDescent="0.35">
      <c r="A99" s="436"/>
      <c r="B99" s="436"/>
      <c r="C99" s="436"/>
      <c r="D99" s="436"/>
      <c r="E99" s="436"/>
      <c r="F99" s="436"/>
      <c r="G99" s="436"/>
      <c r="H99" s="436"/>
      <c r="I99" s="436"/>
      <c r="J99" s="436"/>
      <c r="K99" s="436"/>
      <c r="L99" s="436"/>
      <c r="M99" s="436"/>
      <c r="N99" s="109"/>
      <c r="O99" s="109"/>
      <c r="P99" s="109"/>
      <c r="Q99" s="109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</row>
    <row r="100" spans="1:31" ht="31" x14ac:dyDescent="0.35">
      <c r="A100" s="218"/>
      <c r="B100" s="119"/>
      <c r="C100" s="119"/>
      <c r="D100" s="119"/>
      <c r="E100" s="119"/>
      <c r="F100" s="119"/>
      <c r="G100" s="119"/>
      <c r="H100" s="119"/>
      <c r="I100" s="437"/>
      <c r="J100" s="437"/>
      <c r="K100" s="437"/>
      <c r="L100" s="437"/>
      <c r="M100" s="219"/>
      <c r="N100" s="109"/>
      <c r="O100" s="109"/>
      <c r="P100" s="109"/>
      <c r="Q100" s="109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</row>
    <row r="101" spans="1:31" x14ac:dyDescent="0.35">
      <c r="A101" s="213"/>
      <c r="B101" s="533"/>
      <c r="C101" s="533"/>
      <c r="D101" s="533"/>
      <c r="E101" s="119"/>
      <c r="F101" s="119"/>
      <c r="G101" s="119"/>
      <c r="H101" s="119"/>
      <c r="I101" s="119"/>
      <c r="J101" s="119"/>
      <c r="K101" s="119"/>
      <c r="L101" s="119"/>
      <c r="M101" s="109"/>
      <c r="N101" s="109"/>
      <c r="O101" s="109"/>
      <c r="P101" s="109"/>
      <c r="Q101" s="109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</row>
    <row r="102" spans="1:31" ht="22.5" customHeight="1" x14ac:dyDescent="0.35">
      <c r="A102" s="220"/>
      <c r="B102" s="220"/>
      <c r="C102" s="221"/>
      <c r="D102" s="210"/>
      <c r="E102" s="220"/>
      <c r="F102" s="221"/>
      <c r="G102" s="210"/>
      <c r="H102" s="221"/>
      <c r="I102" s="120"/>
      <c r="J102" s="120"/>
      <c r="K102" s="222"/>
      <c r="L102" s="120"/>
      <c r="M102" s="435"/>
      <c r="N102" s="109"/>
      <c r="O102" s="109"/>
      <c r="P102" s="109"/>
      <c r="Q102" s="109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</row>
    <row r="103" spans="1:31" ht="23.25" customHeight="1" x14ac:dyDescent="0.35">
      <c r="A103" s="213"/>
      <c r="B103" s="223"/>
      <c r="C103" s="223"/>
      <c r="D103" s="223"/>
      <c r="E103" s="218"/>
      <c r="F103" s="120"/>
      <c r="G103" s="224"/>
      <c r="H103" s="224"/>
      <c r="I103" s="224"/>
      <c r="J103" s="120"/>
      <c r="K103" s="224"/>
      <c r="L103" s="120"/>
      <c r="M103" s="435"/>
      <c r="N103" s="109"/>
      <c r="O103" s="109"/>
      <c r="P103" s="109"/>
      <c r="Q103" s="109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</row>
    <row r="104" spans="1:31" x14ac:dyDescent="0.3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35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</row>
    <row r="105" spans="1:31" x14ac:dyDescent="0.3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35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</row>
    <row r="106" spans="1:31" ht="28.5" x14ac:dyDescent="0.35">
      <c r="A106" s="436"/>
      <c r="B106" s="436"/>
      <c r="C106" s="436"/>
      <c r="D106" s="436"/>
      <c r="E106" s="436"/>
      <c r="F106" s="436"/>
      <c r="G106" s="436"/>
      <c r="H106" s="436"/>
      <c r="I106" s="117"/>
      <c r="J106" s="117"/>
      <c r="K106" s="117"/>
      <c r="L106" s="117"/>
      <c r="M106" s="11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</row>
    <row r="107" spans="1:31" ht="32.25" customHeight="1" x14ac:dyDescent="0.35">
      <c r="A107" s="538"/>
      <c r="B107" s="539"/>
      <c r="C107" s="225"/>
      <c r="D107" s="225"/>
      <c r="E107" s="540"/>
      <c r="F107" s="540"/>
      <c r="G107" s="225"/>
      <c r="H107" s="219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</row>
    <row r="108" spans="1:31" x14ac:dyDescent="0.35">
      <c r="A108" s="538"/>
      <c r="B108" s="539"/>
      <c r="C108" s="225"/>
      <c r="D108" s="225"/>
      <c r="E108" s="226"/>
      <c r="F108" s="226"/>
      <c r="G108" s="225"/>
      <c r="H108" s="109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</row>
    <row r="109" spans="1:31" x14ac:dyDescent="0.35">
      <c r="A109" s="109"/>
      <c r="B109" s="109"/>
      <c r="C109" s="225"/>
      <c r="D109" s="225"/>
      <c r="E109" s="226"/>
      <c r="F109" s="226"/>
      <c r="G109" s="227"/>
      <c r="H109" s="435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</row>
    <row r="110" spans="1:31" x14ac:dyDescent="0.35">
      <c r="A110" s="109"/>
      <c r="B110" s="109"/>
      <c r="C110" s="225"/>
      <c r="D110" s="225"/>
      <c r="E110" s="226"/>
      <c r="F110" s="226"/>
      <c r="G110" s="227"/>
      <c r="H110" s="435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</row>
    <row r="111" spans="1:31" x14ac:dyDescent="0.35">
      <c r="A111" s="47"/>
      <c r="B111" s="109"/>
      <c r="C111" s="225"/>
      <c r="D111" s="225"/>
      <c r="E111" s="226"/>
      <c r="F111" s="226"/>
      <c r="G111" s="227"/>
      <c r="H111" s="435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</row>
    <row r="112" spans="1:31" ht="31.5" customHeight="1" x14ac:dyDescent="0.35">
      <c r="A112" s="47"/>
      <c r="B112" s="109"/>
      <c r="C112" s="225"/>
      <c r="D112" s="225"/>
      <c r="E112" s="226"/>
      <c r="F112" s="226"/>
      <c r="G112" s="227"/>
      <c r="H112" s="435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</row>
    <row r="113" spans="1:31" x14ac:dyDescent="0.3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</row>
    <row r="114" spans="1:31" x14ac:dyDescent="0.3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</row>
    <row r="115" spans="1:31" ht="28.5" x14ac:dyDescent="0.35">
      <c r="A115" s="436"/>
      <c r="B115" s="436"/>
      <c r="C115" s="436"/>
      <c r="D115" s="436"/>
      <c r="E115" s="436"/>
      <c r="F115" s="436"/>
      <c r="G115" s="436"/>
      <c r="H115" s="436"/>
      <c r="I115" s="436"/>
      <c r="J115" s="436"/>
      <c r="K115" s="436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</row>
    <row r="116" spans="1:31" ht="32.25" customHeight="1" x14ac:dyDescent="0.35">
      <c r="A116" s="228"/>
      <c r="B116" s="229"/>
      <c r="C116" s="229"/>
      <c r="D116" s="229"/>
      <c r="E116" s="229"/>
      <c r="F116" s="229"/>
      <c r="G116" s="229"/>
      <c r="H116" s="229"/>
      <c r="I116" s="437"/>
      <c r="J116" s="437"/>
      <c r="K116" s="219"/>
      <c r="L116" s="118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</row>
    <row r="117" spans="1:31" x14ac:dyDescent="0.35">
      <c r="A117" s="230"/>
      <c r="B117" s="438"/>
      <c r="C117" s="438"/>
      <c r="D117" s="438"/>
      <c r="E117" s="229"/>
      <c r="F117" s="229"/>
      <c r="G117" s="229"/>
      <c r="H117" s="229"/>
      <c r="I117" s="229"/>
      <c r="J117" s="229"/>
      <c r="K117" s="109"/>
      <c r="L117" s="119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</row>
    <row r="118" spans="1:31" x14ac:dyDescent="0.35">
      <c r="A118" s="231"/>
      <c r="B118" s="231"/>
      <c r="C118" s="232"/>
      <c r="D118" s="233"/>
      <c r="E118" s="231"/>
      <c r="F118" s="232"/>
      <c r="G118" s="233"/>
      <c r="H118" s="232"/>
      <c r="I118" s="234"/>
      <c r="J118" s="234"/>
      <c r="K118" s="435"/>
      <c r="L118" s="120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</row>
    <row r="119" spans="1:31" x14ac:dyDescent="0.35">
      <c r="A119" s="230"/>
      <c r="B119" s="235"/>
      <c r="C119" s="235"/>
      <c r="D119" s="235"/>
      <c r="E119" s="228"/>
      <c r="F119" s="234"/>
      <c r="G119" s="235"/>
      <c r="H119" s="235"/>
      <c r="I119" s="235"/>
      <c r="J119" s="234"/>
      <c r="K119" s="435"/>
      <c r="L119" s="120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</row>
    <row r="120" spans="1:31" x14ac:dyDescent="0.3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35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</row>
    <row r="121" spans="1:31" ht="31.5" customHeight="1" x14ac:dyDescent="0.3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35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</row>
    <row r="122" spans="1:31" x14ac:dyDescent="0.3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</row>
  </sheetData>
  <protectedRanges>
    <protectedRange algorithmName="SHA-512" hashValue="WcckQcDeKD8214lfi0vSSR4NLSCLMy4MpsQouTcNfJ1DoMHUg3gBxSDzNtUc/YXSAK74Dz7twknWhAtX1UL/Hg==" saltValue="rHSCtw3khs5TNds/CSwlxQ==" spinCount="100000" sqref="B32:J38 B47:D53 E50" name="Metano_3"/>
  </protectedRanges>
  <mergeCells count="67">
    <mergeCell ref="K118:K121"/>
    <mergeCell ref="I116:J116"/>
    <mergeCell ref="A115:K115"/>
    <mergeCell ref="H109:H112"/>
    <mergeCell ref="A106:H106"/>
    <mergeCell ref="B117:D117"/>
    <mergeCell ref="M102:M105"/>
    <mergeCell ref="A107:A108"/>
    <mergeCell ref="B107:B108"/>
    <mergeCell ref="E107:F107"/>
    <mergeCell ref="A99:M99"/>
    <mergeCell ref="B101:D101"/>
    <mergeCell ref="A90:M90"/>
    <mergeCell ref="N90:P90"/>
    <mergeCell ref="N91:P91"/>
    <mergeCell ref="B91:G92"/>
    <mergeCell ref="H91:M92"/>
    <mergeCell ref="A93:A94"/>
    <mergeCell ref="B94:D94"/>
    <mergeCell ref="H94:J94"/>
    <mergeCell ref="A65:D65"/>
    <mergeCell ref="E67:E70"/>
    <mergeCell ref="A45:A46"/>
    <mergeCell ref="Q92:Q96"/>
    <mergeCell ref="I100:L100"/>
    <mergeCell ref="A57:D57"/>
    <mergeCell ref="E58:F58"/>
    <mergeCell ref="E59:F59"/>
    <mergeCell ref="H60:H62"/>
    <mergeCell ref="E60:F60"/>
    <mergeCell ref="E61:F61"/>
    <mergeCell ref="A87:AE87"/>
    <mergeCell ref="E74:G74"/>
    <mergeCell ref="H74:J74"/>
    <mergeCell ref="L76:L79"/>
    <mergeCell ref="A73:L73"/>
    <mergeCell ref="G45:H45"/>
    <mergeCell ref="F46:G46"/>
    <mergeCell ref="I46:I54"/>
    <mergeCell ref="AD32:AD38"/>
    <mergeCell ref="A28:D28"/>
    <mergeCell ref="A43:D43"/>
    <mergeCell ref="A44:D44"/>
    <mergeCell ref="Y29:AB29"/>
    <mergeCell ref="AC29:AD29"/>
    <mergeCell ref="K29:P29"/>
    <mergeCell ref="Q29:S29"/>
    <mergeCell ref="T29:T31"/>
    <mergeCell ref="U29:U31"/>
    <mergeCell ref="V29:X29"/>
    <mergeCell ref="A1:C1"/>
    <mergeCell ref="A29:D29"/>
    <mergeCell ref="E29:G29"/>
    <mergeCell ref="I29:J29"/>
    <mergeCell ref="D1:H1"/>
    <mergeCell ref="B14:C14"/>
    <mergeCell ref="B22:C22"/>
    <mergeCell ref="AE29:AE30"/>
    <mergeCell ref="A30:A31"/>
    <mergeCell ref="K30:L30"/>
    <mergeCell ref="M30:N30"/>
    <mergeCell ref="O30:P30"/>
    <mergeCell ref="AB30:AC30"/>
    <mergeCell ref="E31:F31"/>
    <mergeCell ref="Q31:S31"/>
    <mergeCell ref="Y31:AA31"/>
    <mergeCell ref="AB31:AC31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Formulario</vt:lpstr>
      <vt:lpstr>Emisiones</vt:lpstr>
      <vt:lpstr>Capturas</vt:lpstr>
      <vt:lpstr>Balance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</dc:creator>
  <cp:lastModifiedBy>Portatil2</cp:lastModifiedBy>
  <cp:lastPrinted>2017-08-03T23:22:23Z</cp:lastPrinted>
  <dcterms:created xsi:type="dcterms:W3CDTF">2016-12-06T22:50:37Z</dcterms:created>
  <dcterms:modified xsi:type="dcterms:W3CDTF">2017-09-05T22:33:35Z</dcterms:modified>
</cp:coreProperties>
</file>